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wner\Downloads\"/>
    </mc:Choice>
  </mc:AlternateContent>
  <bookViews>
    <workbookView xWindow="0" yWindow="0" windowWidth="28800" windowHeight="12330"/>
  </bookViews>
  <sheets>
    <sheet name="All data" sheetId="2" r:id="rId1"/>
    <sheet name="Wood Category Responses Only" sheetId="9" r:id="rId2"/>
    <sheet name="South" sheetId="7" r:id="rId3"/>
    <sheet name="Midwest" sheetId="5" r:id="rId4"/>
    <sheet name="Northeast" sheetId="6" r:id="rId5"/>
    <sheet name="West" sheetId="8" r:id="rId6"/>
    <sheet name="Volume to weight converstion" sheetId="1" r:id="rId7"/>
    <sheet name="Sheet1" sheetId="10" r:id="rId8"/>
  </sheets>
  <definedNames>
    <definedName name="_xlnm._FilterDatabase" localSheetId="0" hidden="1">'All data'!$A$2:$CA$192</definedName>
    <definedName name="_xlchart.v2.0" hidden="1">'All data'!$G$1</definedName>
    <definedName name="_xlchart.v2.1" hidden="1">'All data'!$G$2:$G$175</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O47" i="5" l="1"/>
  <c r="AP47" i="5"/>
  <c r="AQ47" i="5"/>
  <c r="AR47" i="5"/>
  <c r="AS47" i="5"/>
  <c r="AT47" i="5"/>
  <c r="AU47" i="5"/>
  <c r="AV47" i="5"/>
  <c r="AY47" i="5" s="1"/>
  <c r="AW47" i="5"/>
  <c r="AX47" i="5"/>
  <c r="AZ181" i="2" l="1"/>
  <c r="BA182" i="2"/>
  <c r="BA181" i="2"/>
  <c r="AZ182" i="2"/>
  <c r="AY181" i="2"/>
  <c r="AY182" i="2"/>
  <c r="AY184" i="2"/>
  <c r="AH184" i="2" l="1"/>
  <c r="AH183" i="2"/>
  <c r="AH182" i="2"/>
  <c r="AH181" i="2"/>
  <c r="AG184" i="2"/>
  <c r="AG183" i="2"/>
  <c r="AG182" i="2"/>
  <c r="AG181" i="2"/>
  <c r="AF184" i="2"/>
  <c r="AF183" i="2"/>
  <c r="AF182" i="2"/>
  <c r="AE184" i="2"/>
  <c r="AE183" i="2"/>
  <c r="AE182" i="2"/>
  <c r="AE181" i="2"/>
  <c r="AD184" i="2"/>
  <c r="AD183" i="2"/>
  <c r="AD182" i="2"/>
  <c r="AD181" i="2"/>
  <c r="AC184" i="2"/>
  <c r="AI184" i="2" s="1"/>
  <c r="AC183" i="2"/>
  <c r="AI183" i="2" s="1"/>
  <c r="AC182" i="2"/>
  <c r="AC181" i="2"/>
  <c r="AH180" i="2"/>
  <c r="AD180" i="2"/>
  <c r="AE180" i="2"/>
  <c r="AF180" i="2"/>
  <c r="AG180" i="2"/>
  <c r="AC180" i="2"/>
  <c r="S185" i="2"/>
  <c r="S184" i="2"/>
  <c r="S183" i="2"/>
  <c r="S182" i="2"/>
  <c r="R185" i="2"/>
  <c r="R184" i="2"/>
  <c r="R183" i="2"/>
  <c r="R182" i="2"/>
  <c r="Q185" i="2"/>
  <c r="Q184" i="2"/>
  <c r="Q183" i="2"/>
  <c r="Q182" i="2"/>
  <c r="O185" i="2"/>
  <c r="O184" i="2"/>
  <c r="O183" i="2"/>
  <c r="N185" i="2"/>
  <c r="N184" i="2"/>
  <c r="N183" i="2"/>
  <c r="M185" i="2"/>
  <c r="M184" i="2"/>
  <c r="M183" i="2"/>
  <c r="L185" i="2"/>
  <c r="L184" i="2"/>
  <c r="L183" i="2"/>
  <c r="AZ66" i="8"/>
  <c r="AZ35" i="5"/>
  <c r="AY37" i="5"/>
  <c r="AZ4" i="5"/>
  <c r="AZ5" i="5"/>
  <c r="AZ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 i="5"/>
  <c r="J110" i="10"/>
  <c r="D101" i="10"/>
  <c r="D110" i="10" s="1"/>
  <c r="H101" i="10"/>
  <c r="H110" i="10" s="1"/>
  <c r="I101" i="10"/>
  <c r="I110" i="10" s="1"/>
  <c r="J101" i="10"/>
  <c r="K101" i="10"/>
  <c r="K110" i="10" s="1"/>
  <c r="L101" i="10"/>
  <c r="D16" i="10"/>
  <c r="F16" i="10"/>
  <c r="F101" i="10" s="1"/>
  <c r="F110" i="10" s="1"/>
  <c r="G16" i="10"/>
  <c r="G101" i="10" s="1"/>
  <c r="G110" i="10" s="1"/>
  <c r="C16" i="10"/>
  <c r="F28" i="10"/>
  <c r="B28" i="10"/>
  <c r="C28" i="10" s="1"/>
  <c r="B82" i="10"/>
  <c r="B83" i="10"/>
  <c r="B84" i="10"/>
  <c r="B87" i="10"/>
  <c r="B88" i="10"/>
  <c r="B90" i="10"/>
  <c r="B92" i="10"/>
  <c r="B93" i="10"/>
  <c r="B94" i="10"/>
  <c r="B95" i="10"/>
  <c r="B97" i="10"/>
  <c r="B98" i="10"/>
  <c r="B99" i="10"/>
  <c r="B67" i="10"/>
  <c r="B68" i="10"/>
  <c r="B70" i="10"/>
  <c r="B71" i="10"/>
  <c r="B74" i="10"/>
  <c r="B75" i="10"/>
  <c r="B77" i="10"/>
  <c r="B78" i="10"/>
  <c r="B80" i="10"/>
  <c r="B81" i="10"/>
  <c r="B50" i="10"/>
  <c r="B52" i="10"/>
  <c r="B53" i="10"/>
  <c r="B56" i="10"/>
  <c r="B60" i="10"/>
  <c r="B62" i="10"/>
  <c r="B63" i="10"/>
  <c r="B64" i="10"/>
  <c r="B66" i="10"/>
  <c r="B31" i="10"/>
  <c r="B33" i="10"/>
  <c r="B34" i="10"/>
  <c r="B35" i="10"/>
  <c r="B36" i="10"/>
  <c r="B37" i="10"/>
  <c r="B38" i="10"/>
  <c r="B40" i="10"/>
  <c r="B41" i="10"/>
  <c r="B42" i="10"/>
  <c r="B43" i="10"/>
  <c r="B45" i="10"/>
  <c r="B49" i="10"/>
  <c r="B17" i="10"/>
  <c r="B18" i="10"/>
  <c r="B19" i="10"/>
  <c r="B20" i="10"/>
  <c r="B21" i="10"/>
  <c r="B22" i="10"/>
  <c r="B24" i="10"/>
  <c r="B25" i="10"/>
  <c r="B26" i="10"/>
  <c r="B27" i="10"/>
  <c r="B30" i="10"/>
  <c r="B3" i="10"/>
  <c r="B4" i="10"/>
  <c r="B6" i="10"/>
  <c r="B7" i="10"/>
  <c r="C115" i="10" s="1"/>
  <c r="B11" i="10"/>
  <c r="B12" i="10"/>
  <c r="B13" i="10"/>
  <c r="B14" i="10"/>
  <c r="B15" i="10"/>
  <c r="B16" i="10"/>
  <c r="E16" i="10" s="1"/>
  <c r="E101" i="10" s="1"/>
  <c r="E110" i="10" s="1"/>
  <c r="AI180" i="2" l="1"/>
  <c r="AH186" i="2" s="1"/>
  <c r="A117" i="10"/>
  <c r="A119" i="10"/>
  <c r="A118" i="10"/>
  <c r="A116" i="10"/>
  <c r="C101" i="10"/>
  <c r="C110" i="10" s="1"/>
  <c r="B101" i="10"/>
  <c r="AE190" i="2"/>
  <c r="AE186" i="2"/>
  <c r="AF189" i="2"/>
  <c r="AG189" i="2"/>
  <c r="AH189" i="2"/>
  <c r="AD190" i="2"/>
  <c r="AD189" i="2"/>
  <c r="AE189" i="2"/>
  <c r="AF190" i="2"/>
  <c r="AG190" i="2"/>
  <c r="AH190" i="2"/>
  <c r="AA180" i="2"/>
  <c r="AI182" i="2"/>
  <c r="AD188" i="2" s="1"/>
  <c r="AC190" i="2"/>
  <c r="AC189" i="2"/>
  <c r="L102" i="10"/>
  <c r="L110" i="10" s="1"/>
  <c r="N40" i="5"/>
  <c r="AF186" i="2" l="1"/>
  <c r="AG186" i="2"/>
  <c r="AC186" i="2"/>
  <c r="AI186" i="2" s="1"/>
  <c r="AD186" i="2"/>
  <c r="AG188" i="2"/>
  <c r="AC188" i="2"/>
  <c r="AI189" i="2"/>
  <c r="AF188" i="2"/>
  <c r="AI190" i="2"/>
  <c r="AE188" i="2"/>
  <c r="AH188" i="2"/>
  <c r="AC192" i="2"/>
  <c r="AC198" i="2" s="1"/>
  <c r="AQ198" i="2"/>
  <c r="AQ197" i="2"/>
  <c r="AQ196" i="2"/>
  <c r="AQ195" i="2"/>
  <c r="AQ194" i="2"/>
  <c r="AP202" i="2" s="1"/>
  <c r="AP187" i="2"/>
  <c r="AQ187" i="2" s="1"/>
  <c r="AR187" i="2" s="1"/>
  <c r="AY68" i="8"/>
  <c r="AV68" i="8"/>
  <c r="AY67" i="8"/>
  <c r="AX67" i="8"/>
  <c r="AX68" i="8" s="1"/>
  <c r="AW67" i="8"/>
  <c r="AZ67" i="8" s="1"/>
  <c r="AV67" i="8"/>
  <c r="AU67" i="8"/>
  <c r="AU68" i="8" s="1"/>
  <c r="AV66" i="8"/>
  <c r="AW66" i="8"/>
  <c r="AX66" i="8"/>
  <c r="AY66" i="8"/>
  <c r="AU66" i="8"/>
  <c r="AV25" i="6"/>
  <c r="AW25" i="6"/>
  <c r="AX25" i="6"/>
  <c r="AY25" i="6"/>
  <c r="AU25" i="6"/>
  <c r="AZ25" i="6" s="1"/>
  <c r="AY26" i="6" s="1"/>
  <c r="AY27" i="6" s="1"/>
  <c r="AT39" i="5"/>
  <c r="AV40" i="5"/>
  <c r="AT40" i="5"/>
  <c r="AV39" i="5"/>
  <c r="AW38" i="5"/>
  <c r="AW40" i="5" s="1"/>
  <c r="AV38" i="5"/>
  <c r="AU38" i="5"/>
  <c r="AU40" i="5" s="1"/>
  <c r="AT38" i="5"/>
  <c r="AU37" i="5"/>
  <c r="AV37" i="5"/>
  <c r="AW37" i="5"/>
  <c r="AX37" i="5"/>
  <c r="AT37" i="5"/>
  <c r="AY68" i="7"/>
  <c r="AV68" i="7"/>
  <c r="AW68" i="7"/>
  <c r="AX68" i="7"/>
  <c r="AU68" i="7"/>
  <c r="AQ180" i="2"/>
  <c r="AR180" i="2"/>
  <c r="AS180" i="2"/>
  <c r="AT180" i="2"/>
  <c r="AP180" i="2"/>
  <c r="AI188" i="2" l="1"/>
  <c r="AW68" i="8"/>
  <c r="AP190" i="2"/>
  <c r="AQ190" i="2" s="1"/>
  <c r="AR190" i="2" s="1"/>
  <c r="AW39" i="5"/>
  <c r="AU39" i="5"/>
  <c r="AZ68" i="7"/>
  <c r="AW69" i="7" s="1"/>
  <c r="AV26" i="6"/>
  <c r="AV27" i="6" s="1"/>
  <c r="AW26" i="6"/>
  <c r="AW27" i="6" s="1"/>
  <c r="AU180" i="2"/>
  <c r="AX26" i="6"/>
  <c r="AX27" i="6" s="1"/>
  <c r="AU26" i="6"/>
  <c r="AH72" i="8"/>
  <c r="AI72" i="8"/>
  <c r="AJ72" i="8"/>
  <c r="AK72" i="8"/>
  <c r="AL72" i="8"/>
  <c r="AG72" i="8"/>
  <c r="AH71" i="8"/>
  <c r="AI71" i="8"/>
  <c r="AJ71" i="8"/>
  <c r="AK71" i="8"/>
  <c r="AL71" i="8"/>
  <c r="AG71" i="8"/>
  <c r="AH70" i="8"/>
  <c r="AI70" i="8"/>
  <c r="AJ70" i="8"/>
  <c r="AK70" i="8"/>
  <c r="AL70" i="8"/>
  <c r="AG70" i="8"/>
  <c r="Z70" i="8"/>
  <c r="AH28" i="6"/>
  <c r="AI28" i="6"/>
  <c r="AJ28" i="6"/>
  <c r="AK28" i="6"/>
  <c r="AL28" i="6"/>
  <c r="AG28" i="6"/>
  <c r="AH27" i="6"/>
  <c r="AI27" i="6"/>
  <c r="AJ27" i="6"/>
  <c r="AK27" i="6"/>
  <c r="AL27" i="6"/>
  <c r="AG27" i="6"/>
  <c r="AH26" i="6"/>
  <c r="AI26" i="6"/>
  <c r="AJ26" i="6"/>
  <c r="AK26" i="6"/>
  <c r="AL26" i="6"/>
  <c r="AG26" i="6"/>
  <c r="AA26" i="6"/>
  <c r="AH72" i="7"/>
  <c r="AI72" i="7"/>
  <c r="AJ72" i="7"/>
  <c r="AK72" i="7"/>
  <c r="AL72" i="7"/>
  <c r="AG72" i="7"/>
  <c r="AH71" i="7"/>
  <c r="AI71" i="7"/>
  <c r="AJ71" i="7"/>
  <c r="AK71" i="7"/>
  <c r="AL71" i="7"/>
  <c r="AG71" i="7"/>
  <c r="AE73" i="7"/>
  <c r="AG41" i="5"/>
  <c r="AH41" i="5"/>
  <c r="AI41" i="5"/>
  <c r="AJ41" i="5"/>
  <c r="AK41" i="5"/>
  <c r="AF41" i="5"/>
  <c r="AG40" i="5"/>
  <c r="AH40" i="5"/>
  <c r="AI40" i="5"/>
  <c r="AJ40" i="5"/>
  <c r="AK40" i="5"/>
  <c r="AF40" i="5"/>
  <c r="AE40" i="5"/>
  <c r="G4" i="2"/>
  <c r="G5" i="2"/>
  <c r="G7" i="2"/>
  <c r="G8" i="2"/>
  <c r="G10" i="2"/>
  <c r="G11" i="2"/>
  <c r="G12" i="2"/>
  <c r="G13" i="2"/>
  <c r="G14" i="2"/>
  <c r="G15" i="2"/>
  <c r="G16" i="2"/>
  <c r="G17" i="2"/>
  <c r="G18" i="2"/>
  <c r="G20" i="2"/>
  <c r="G21" i="2"/>
  <c r="G22" i="2"/>
  <c r="G24" i="2"/>
  <c r="G25" i="2"/>
  <c r="G27" i="2"/>
  <c r="G28" i="2"/>
  <c r="G29" i="2"/>
  <c r="G30" i="2"/>
  <c r="G31" i="2"/>
  <c r="G32" i="2"/>
  <c r="G33" i="2"/>
  <c r="G34" i="2"/>
  <c r="G35" i="2"/>
  <c r="G36" i="2"/>
  <c r="G37" i="2"/>
  <c r="G38" i="2"/>
  <c r="G39" i="2"/>
  <c r="G41" i="2"/>
  <c r="G42" i="2"/>
  <c r="G43" i="2"/>
  <c r="G44" i="2"/>
  <c r="G45" i="2"/>
  <c r="G46" i="2"/>
  <c r="G48" i="2"/>
  <c r="G49" i="2"/>
  <c r="G51" i="2"/>
  <c r="G52" i="2"/>
  <c r="G53" i="2"/>
  <c r="G54" i="2"/>
  <c r="G55" i="2"/>
  <c r="G57" i="2"/>
  <c r="G58" i="2"/>
  <c r="G59" i="2"/>
  <c r="G60" i="2"/>
  <c r="G61" i="2"/>
  <c r="G62" i="2"/>
  <c r="G63" i="2"/>
  <c r="G64" i="2"/>
  <c r="G65" i="2"/>
  <c r="G66" i="2"/>
  <c r="G67" i="2"/>
  <c r="G68" i="2"/>
  <c r="G71" i="2"/>
  <c r="G72" i="2"/>
  <c r="G73" i="2"/>
  <c r="G74" i="2"/>
  <c r="G75" i="2"/>
  <c r="G76" i="2"/>
  <c r="G77" i="2"/>
  <c r="G79" i="2"/>
  <c r="G80" i="2"/>
  <c r="G81" i="2"/>
  <c r="G82" i="2"/>
  <c r="G83" i="2"/>
  <c r="G84" i="2"/>
  <c r="G85" i="2"/>
  <c r="G86" i="2"/>
  <c r="G87" i="2"/>
  <c r="G88" i="2"/>
  <c r="G90" i="2"/>
  <c r="G91" i="2"/>
  <c r="G94" i="2"/>
  <c r="G95" i="2"/>
  <c r="G96" i="2"/>
  <c r="G97" i="2"/>
  <c r="G98" i="2"/>
  <c r="G99" i="2"/>
  <c r="G100" i="2"/>
  <c r="G101" i="2"/>
  <c r="G102" i="2"/>
  <c r="G103"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40" i="2"/>
  <c r="G141" i="2"/>
  <c r="G142" i="2"/>
  <c r="G143" i="2"/>
  <c r="G144" i="2"/>
  <c r="G145" i="2"/>
  <c r="G146" i="2"/>
  <c r="G147" i="2"/>
  <c r="G149" i="2"/>
  <c r="G151" i="2"/>
  <c r="G153" i="2"/>
  <c r="G154" i="2"/>
  <c r="G158" i="2"/>
  <c r="G159" i="2"/>
  <c r="G160" i="2"/>
  <c r="G161" i="2"/>
  <c r="G162" i="2"/>
  <c r="G163" i="2"/>
  <c r="G164" i="2"/>
  <c r="G165" i="2"/>
  <c r="G166" i="2"/>
  <c r="G167" i="2"/>
  <c r="G168" i="2"/>
  <c r="G169" i="2"/>
  <c r="G170" i="2"/>
  <c r="G171" i="2"/>
  <c r="G172" i="2"/>
  <c r="G173" i="2"/>
  <c r="G174" i="2"/>
  <c r="G3" i="2"/>
  <c r="I133" i="2"/>
  <c r="J133" i="2"/>
  <c r="K133" i="2"/>
  <c r="H133" i="2"/>
  <c r="N67" i="8"/>
  <c r="O67" i="8"/>
  <c r="P67" i="8"/>
  <c r="M67" i="8"/>
  <c r="N66" i="8"/>
  <c r="O66" i="8"/>
  <c r="P66" i="8"/>
  <c r="M66" i="8"/>
  <c r="H66"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3" i="8"/>
  <c r="J56" i="8"/>
  <c r="K56" i="8"/>
  <c r="L56" i="8"/>
  <c r="I56" i="8"/>
  <c r="F56" i="8"/>
  <c r="J52" i="8"/>
  <c r="K52" i="8"/>
  <c r="L52" i="8"/>
  <c r="I52" i="8"/>
  <c r="F52" i="8"/>
  <c r="J49" i="8"/>
  <c r="K49" i="8"/>
  <c r="L49" i="8"/>
  <c r="I49" i="8"/>
  <c r="F49" i="8"/>
  <c r="J47" i="8"/>
  <c r="K47" i="8"/>
  <c r="L47" i="8"/>
  <c r="I47" i="8"/>
  <c r="F47" i="8"/>
  <c r="J39" i="8"/>
  <c r="K39" i="8"/>
  <c r="L39" i="8"/>
  <c r="I39" i="8"/>
  <c r="F39" i="8"/>
  <c r="L36" i="8"/>
  <c r="K36" i="8"/>
  <c r="J36" i="8"/>
  <c r="I36" i="8"/>
  <c r="F36" i="8"/>
  <c r="J31" i="8"/>
  <c r="K31" i="8"/>
  <c r="L31" i="8"/>
  <c r="I31" i="8"/>
  <c r="F31" i="8"/>
  <c r="N30" i="6"/>
  <c r="O30" i="6"/>
  <c r="P30" i="6"/>
  <c r="M30" i="6"/>
  <c r="N29" i="6"/>
  <c r="O29" i="6"/>
  <c r="P29" i="6"/>
  <c r="M29" i="6"/>
  <c r="P28" i="6"/>
  <c r="N28" i="6"/>
  <c r="O28" i="6"/>
  <c r="M28" i="6"/>
  <c r="H28" i="6"/>
  <c r="H4" i="6"/>
  <c r="H5" i="6"/>
  <c r="H6" i="6"/>
  <c r="H7" i="6"/>
  <c r="H8" i="6"/>
  <c r="H9" i="6"/>
  <c r="H10" i="6"/>
  <c r="H11" i="6"/>
  <c r="H12" i="6"/>
  <c r="H13" i="6"/>
  <c r="H14" i="6"/>
  <c r="H16" i="6"/>
  <c r="H17" i="6"/>
  <c r="H18" i="6"/>
  <c r="H19" i="6"/>
  <c r="H20" i="6"/>
  <c r="H3" i="6"/>
  <c r="J62" i="7"/>
  <c r="K62" i="7"/>
  <c r="L62" i="7"/>
  <c r="I62" i="7"/>
  <c r="F62" i="7"/>
  <c r="K51" i="7"/>
  <c r="J51" i="7"/>
  <c r="F51" i="7"/>
  <c r="J30" i="7"/>
  <c r="K30" i="7"/>
  <c r="L30" i="7"/>
  <c r="I30" i="7"/>
  <c r="F30" i="7"/>
  <c r="J8" i="7"/>
  <c r="K8" i="7"/>
  <c r="L8" i="7"/>
  <c r="I8" i="7"/>
  <c r="F8" i="7"/>
  <c r="J6" i="7"/>
  <c r="K6" i="7"/>
  <c r="L6" i="7"/>
  <c r="I6" i="7"/>
  <c r="F6" i="7"/>
  <c r="H4" i="7"/>
  <c r="H5" i="7"/>
  <c r="H6" i="7"/>
  <c r="H8" i="7"/>
  <c r="H9" i="7"/>
  <c r="H11" i="7"/>
  <c r="H12" i="7"/>
  <c r="H14" i="7"/>
  <c r="H15" i="7"/>
  <c r="H16" i="7"/>
  <c r="H17" i="7"/>
  <c r="H18" i="7"/>
  <c r="H19" i="7"/>
  <c r="H20" i="7"/>
  <c r="H22" i="7"/>
  <c r="H23" i="7"/>
  <c r="H24" i="7"/>
  <c r="H25" i="7"/>
  <c r="H26" i="7"/>
  <c r="H27" i="7"/>
  <c r="H28" i="7"/>
  <c r="H29" i="7"/>
  <c r="H30" i="7"/>
  <c r="H32" i="7"/>
  <c r="H33" i="7"/>
  <c r="H34" i="7"/>
  <c r="H35" i="7"/>
  <c r="H36" i="7"/>
  <c r="H37" i="7"/>
  <c r="H38" i="7"/>
  <c r="H40" i="7"/>
  <c r="H41" i="7"/>
  <c r="H42" i="7"/>
  <c r="H43" i="7"/>
  <c r="H44" i="7"/>
  <c r="H45" i="7"/>
  <c r="H46" i="7"/>
  <c r="H47" i="7"/>
  <c r="H48" i="7"/>
  <c r="H49" i="7"/>
  <c r="H50" i="7"/>
  <c r="H51" i="7"/>
  <c r="H52" i="7"/>
  <c r="H54" i="7"/>
  <c r="H57" i="7"/>
  <c r="H58" i="7"/>
  <c r="H59" i="7"/>
  <c r="H60" i="7"/>
  <c r="H61" i="7"/>
  <c r="H62" i="7"/>
  <c r="H63" i="7"/>
  <c r="H64" i="7"/>
  <c r="H65" i="7"/>
  <c r="H2" i="7"/>
  <c r="K31" i="5"/>
  <c r="F31" i="5"/>
  <c r="L31" i="5" s="1"/>
  <c r="O40" i="5"/>
  <c r="P40" i="5"/>
  <c r="M40" i="5"/>
  <c r="F28" i="5"/>
  <c r="H4" i="5"/>
  <c r="H5" i="5"/>
  <c r="H6" i="5"/>
  <c r="H7" i="5"/>
  <c r="H8" i="5"/>
  <c r="H9" i="5"/>
  <c r="H10" i="5"/>
  <c r="H11" i="5"/>
  <c r="H12" i="5"/>
  <c r="H13" i="5"/>
  <c r="H14" i="5"/>
  <c r="H15" i="5"/>
  <c r="H16" i="5"/>
  <c r="H17" i="5"/>
  <c r="H18" i="5"/>
  <c r="H19" i="5"/>
  <c r="H20" i="5"/>
  <c r="H21" i="5"/>
  <c r="H22" i="5"/>
  <c r="H23" i="5"/>
  <c r="H24" i="5"/>
  <c r="H25" i="5"/>
  <c r="H26" i="5"/>
  <c r="H27" i="5"/>
  <c r="H29" i="5"/>
  <c r="H30" i="5"/>
  <c r="H31" i="5"/>
  <c r="H32" i="5"/>
  <c r="H33" i="5"/>
  <c r="H34" i="5"/>
  <c r="H3" i="5"/>
  <c r="G193" i="2" l="1"/>
  <c r="G186" i="2"/>
  <c r="G191" i="2"/>
  <c r="G184" i="2"/>
  <c r="G185" i="2"/>
  <c r="G192" i="2"/>
  <c r="AX69" i="7"/>
  <c r="AV69" i="7"/>
  <c r="AV70" i="7" s="1"/>
  <c r="AY69" i="7"/>
  <c r="AY70" i="7" s="1"/>
  <c r="AV71" i="7"/>
  <c r="AX70" i="7"/>
  <c r="AX71" i="7"/>
  <c r="AY71" i="7"/>
  <c r="AW71" i="7"/>
  <c r="AW70" i="7"/>
  <c r="AU69" i="7"/>
  <c r="AP189" i="2"/>
  <c r="AQ189" i="2" s="1"/>
  <c r="AR189" i="2" s="1"/>
  <c r="AU27" i="6"/>
  <c r="AZ26" i="6"/>
  <c r="AP181" i="2"/>
  <c r="AS181" i="2"/>
  <c r="AT181" i="2"/>
  <c r="AQ181" i="2"/>
  <c r="AR181" i="2"/>
  <c r="F40" i="5"/>
  <c r="I28" i="5"/>
  <c r="G40" i="5"/>
  <c r="J31" i="5"/>
  <c r="J28" i="5"/>
  <c r="I31" i="5"/>
  <c r="H28" i="5"/>
  <c r="I171" i="2"/>
  <c r="J171" i="2"/>
  <c r="K171" i="2"/>
  <c r="H171" i="2"/>
  <c r="M155" i="2"/>
  <c r="M178" i="2" s="1"/>
  <c r="M193" i="2" s="1"/>
  <c r="N155" i="2"/>
  <c r="O155" i="2"/>
  <c r="O178" i="2" s="1"/>
  <c r="L155" i="2"/>
  <c r="K115" i="2"/>
  <c r="L29" i="9"/>
  <c r="M29" i="9" s="1"/>
  <c r="I101" i="2"/>
  <c r="H101" i="2"/>
  <c r="G74" i="9"/>
  <c r="H67" i="9"/>
  <c r="H68" i="9"/>
  <c r="I67" i="9"/>
  <c r="I68" i="9"/>
  <c r="J67" i="9"/>
  <c r="J68" i="9"/>
  <c r="K67" i="9"/>
  <c r="K68" i="9"/>
  <c r="U67" i="9"/>
  <c r="Y65" i="9"/>
  <c r="Z65" i="9"/>
  <c r="Y66" i="9"/>
  <c r="Y67" i="9" s="1"/>
  <c r="Z66" i="9"/>
  <c r="Z67" i="9" s="1"/>
  <c r="U66" i="9"/>
  <c r="V66" i="9"/>
  <c r="V67" i="9" s="1"/>
  <c r="W66" i="9"/>
  <c r="W67" i="9" s="1"/>
  <c r="X66" i="9"/>
  <c r="X67" i="9" s="1"/>
  <c r="U65" i="9"/>
  <c r="V65" i="9"/>
  <c r="W65" i="9"/>
  <c r="X65" i="9"/>
  <c r="AA65" i="9" s="1"/>
  <c r="AA3" i="9"/>
  <c r="AA4" i="9"/>
  <c r="AA5" i="9"/>
  <c r="AA6" i="9"/>
  <c r="AA7" i="9"/>
  <c r="AA8" i="9"/>
  <c r="AA9" i="9"/>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2" i="9"/>
  <c r="T3" i="9"/>
  <c r="T4" i="9"/>
  <c r="T5" i="9"/>
  <c r="T6"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O66" i="9" s="1"/>
  <c r="N66" i="9"/>
  <c r="Q66" i="9"/>
  <c r="R66" i="9"/>
  <c r="T2" i="9"/>
  <c r="L68" i="9"/>
  <c r="H71" i="9"/>
  <c r="I66" i="9"/>
  <c r="J66" i="9"/>
  <c r="K66" i="9"/>
  <c r="H66" i="9"/>
  <c r="L67" i="9" s="1"/>
  <c r="N67" i="9" s="1"/>
  <c r="B67" i="9"/>
  <c r="B68" i="9"/>
  <c r="B66"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7" i="9"/>
  <c r="G38" i="9"/>
  <c r="G39" i="9"/>
  <c r="G40" i="9"/>
  <c r="G41" i="9"/>
  <c r="G42" i="9"/>
  <c r="G43" i="9"/>
  <c r="G44" i="9"/>
  <c r="G45" i="9"/>
  <c r="G46" i="9"/>
  <c r="G47" i="9"/>
  <c r="G48" i="9"/>
  <c r="G49" i="9"/>
  <c r="G50" i="9"/>
  <c r="G51" i="9"/>
  <c r="G52" i="9"/>
  <c r="G53" i="9"/>
  <c r="G54" i="9"/>
  <c r="G55" i="9"/>
  <c r="G56" i="9"/>
  <c r="G57" i="9"/>
  <c r="G58" i="9"/>
  <c r="G59" i="9"/>
  <c r="G60" i="9"/>
  <c r="G61" i="9"/>
  <c r="G62" i="9"/>
  <c r="G63" i="9"/>
  <c r="D66" i="9" s="1"/>
  <c r="G65" i="9"/>
  <c r="C66" i="9"/>
  <c r="L63" i="9"/>
  <c r="M63" i="9" s="1"/>
  <c r="F66" i="9" s="1"/>
  <c r="G2" i="9"/>
  <c r="L3" i="9"/>
  <c r="M3" i="9"/>
  <c r="L4" i="9"/>
  <c r="M4" i="9" s="1"/>
  <c r="L5" i="9"/>
  <c r="M5" i="9"/>
  <c r="L6" i="9"/>
  <c r="M6" i="9" s="1"/>
  <c r="L7" i="9"/>
  <c r="M7" i="9"/>
  <c r="L8" i="9"/>
  <c r="M8" i="9" s="1"/>
  <c r="L9" i="9"/>
  <c r="M9" i="9"/>
  <c r="L10" i="9"/>
  <c r="M10" i="9" s="1"/>
  <c r="L11" i="9"/>
  <c r="M11" i="9"/>
  <c r="L12" i="9"/>
  <c r="M12" i="9" s="1"/>
  <c r="L13" i="9"/>
  <c r="M13" i="9"/>
  <c r="L14" i="9"/>
  <c r="M14" i="9" s="1"/>
  <c r="L15" i="9"/>
  <c r="M15" i="9"/>
  <c r="L16" i="9"/>
  <c r="M16" i="9" s="1"/>
  <c r="L17" i="9"/>
  <c r="M17" i="9"/>
  <c r="L18" i="9"/>
  <c r="M18" i="9" s="1"/>
  <c r="L19" i="9"/>
  <c r="M19" i="9"/>
  <c r="L20" i="9"/>
  <c r="M20" i="9" s="1"/>
  <c r="L21" i="9"/>
  <c r="M21" i="9"/>
  <c r="L22" i="9"/>
  <c r="M22" i="9" s="1"/>
  <c r="L23" i="9"/>
  <c r="M23" i="9"/>
  <c r="L24" i="9"/>
  <c r="M24" i="9" s="1"/>
  <c r="L25" i="9"/>
  <c r="M25" i="9"/>
  <c r="L26" i="9"/>
  <c r="M26" i="9" s="1"/>
  <c r="L27" i="9"/>
  <c r="M27" i="9"/>
  <c r="L28" i="9"/>
  <c r="M28" i="9" s="1"/>
  <c r="L30" i="9"/>
  <c r="M30" i="9"/>
  <c r="L31" i="9"/>
  <c r="M31" i="9" s="1"/>
  <c r="L32" i="9"/>
  <c r="M32" i="9"/>
  <c r="L33" i="9"/>
  <c r="M33" i="9" s="1"/>
  <c r="L34" i="9"/>
  <c r="M34" i="9"/>
  <c r="L35" i="9"/>
  <c r="M35" i="9" s="1"/>
  <c r="L36" i="9"/>
  <c r="M36" i="9"/>
  <c r="L37" i="9"/>
  <c r="M37" i="9" s="1"/>
  <c r="L38" i="9"/>
  <c r="M38" i="9"/>
  <c r="L39" i="9"/>
  <c r="M39" i="9" s="1"/>
  <c r="L40" i="9"/>
  <c r="M40" i="9"/>
  <c r="L41" i="9"/>
  <c r="M41" i="9" s="1"/>
  <c r="L42" i="9"/>
  <c r="M42" i="9"/>
  <c r="L43" i="9"/>
  <c r="M43" i="9" s="1"/>
  <c r="L44" i="9"/>
  <c r="M44" i="9"/>
  <c r="L45" i="9"/>
  <c r="M45" i="9" s="1"/>
  <c r="L46" i="9"/>
  <c r="M46" i="9"/>
  <c r="L47" i="9"/>
  <c r="M47" i="9" s="1"/>
  <c r="L48" i="9"/>
  <c r="M48" i="9"/>
  <c r="L49" i="9"/>
  <c r="M49" i="9" s="1"/>
  <c r="L50" i="9"/>
  <c r="M50" i="9"/>
  <c r="L74" i="9"/>
  <c r="M74" i="9" s="1"/>
  <c r="L51" i="9"/>
  <c r="M51" i="9"/>
  <c r="L52" i="9"/>
  <c r="M52" i="9" s="1"/>
  <c r="L53" i="9"/>
  <c r="M53" i="9"/>
  <c r="L54" i="9"/>
  <c r="M54" i="9" s="1"/>
  <c r="L55" i="9"/>
  <c r="M55" i="9"/>
  <c r="L56" i="9"/>
  <c r="M56" i="9" s="1"/>
  <c r="L57" i="9"/>
  <c r="M57" i="9"/>
  <c r="L58" i="9"/>
  <c r="M58" i="9" s="1"/>
  <c r="L59" i="9"/>
  <c r="M59" i="9"/>
  <c r="L60" i="9"/>
  <c r="M60" i="9" s="1"/>
  <c r="L61" i="9"/>
  <c r="M61" i="9"/>
  <c r="L62" i="9"/>
  <c r="M62" i="9" s="1"/>
  <c r="L2" i="9"/>
  <c r="L66" i="9" s="1"/>
  <c r="M2" i="9"/>
  <c r="D71" i="9"/>
  <c r="H72" i="9"/>
  <c r="AB66" i="9"/>
  <c r="AC178" i="2"/>
  <c r="AD178" i="2"/>
  <c r="AE178" i="2"/>
  <c r="AF178" i="2"/>
  <c r="AG178" i="2"/>
  <c r="AH178" i="2"/>
  <c r="AO178" i="2"/>
  <c r="AN178" i="2"/>
  <c r="AM178" i="2"/>
  <c r="AL178" i="2"/>
  <c r="AK178" i="2"/>
  <c r="AB67" i="8"/>
  <c r="AC67" i="8"/>
  <c r="AD67" i="8"/>
  <c r="AE67" i="8"/>
  <c r="AF67" i="8"/>
  <c r="AA67" i="8"/>
  <c r="J65" i="8"/>
  <c r="H65" i="8"/>
  <c r="K65" i="8"/>
  <c r="L65" i="8"/>
  <c r="I65" i="8"/>
  <c r="H23" i="6"/>
  <c r="L23" i="6"/>
  <c r="J23" i="6"/>
  <c r="K23" i="6"/>
  <c r="I23" i="6"/>
  <c r="H68" i="7"/>
  <c r="F36" i="5"/>
  <c r="K37" i="5" s="1"/>
  <c r="I37" i="5"/>
  <c r="AP178" i="2"/>
  <c r="AQ178" i="2"/>
  <c r="AR178" i="2"/>
  <c r="AS178" i="2"/>
  <c r="AT178" i="2"/>
  <c r="F178" i="2"/>
  <c r="BI177" i="2"/>
  <c r="AW188" i="2"/>
  <c r="AW187" i="2"/>
  <c r="E65" i="8"/>
  <c r="E23" i="6"/>
  <c r="E68" i="7"/>
  <c r="E36" i="5"/>
  <c r="N65" i="8"/>
  <c r="M65" i="8"/>
  <c r="O65" i="8"/>
  <c r="P65" i="8"/>
  <c r="U65" i="8"/>
  <c r="T65" i="8"/>
  <c r="S65" i="8"/>
  <c r="X65" i="8"/>
  <c r="X67" i="8" s="1"/>
  <c r="X66" i="8"/>
  <c r="W65" i="8"/>
  <c r="W67" i="8" s="1"/>
  <c r="W66" i="8"/>
  <c r="AH65" i="8"/>
  <c r="AG65" i="8"/>
  <c r="AI65" i="8"/>
  <c r="AJ65" i="8"/>
  <c r="AK65" i="8"/>
  <c r="AL65" i="8"/>
  <c r="AO67" i="8"/>
  <c r="AO65" i="8"/>
  <c r="AO66" i="8"/>
  <c r="AO25" i="6"/>
  <c r="AO26" i="6"/>
  <c r="AO27" i="6"/>
  <c r="AO28" i="6"/>
  <c r="AO29" i="6" s="1"/>
  <c r="AN37" i="5"/>
  <c r="AN36" i="5"/>
  <c r="AN38" i="5"/>
  <c r="AY65" i="8"/>
  <c r="AU65" i="8"/>
  <c r="AV65" i="8"/>
  <c r="AW65" i="8"/>
  <c r="AX65" i="8"/>
  <c r="BB66" i="8"/>
  <c r="BI66" i="8"/>
  <c r="BH66" i="8"/>
  <c r="BG66" i="8"/>
  <c r="BF66" i="8"/>
  <c r="BE66" i="8"/>
  <c r="BD66" i="8"/>
  <c r="BI65" i="8"/>
  <c r="BH65" i="8"/>
  <c r="BG65" i="8"/>
  <c r="BF65" i="8"/>
  <c r="BE65" i="8"/>
  <c r="BD65" i="8"/>
  <c r="BE23" i="6"/>
  <c r="BG23" i="6"/>
  <c r="BL65" i="8"/>
  <c r="BL67" i="8" s="1"/>
  <c r="BL68" i="8" s="1"/>
  <c r="BL66" i="8"/>
  <c r="BN65" i="8"/>
  <c r="BN41" i="5"/>
  <c r="BO71" i="7"/>
  <c r="BO25" i="6"/>
  <c r="BO66" i="8"/>
  <c r="CD23" i="6"/>
  <c r="CD69" i="7"/>
  <c r="CC36" i="5"/>
  <c r="BZ65" i="8"/>
  <c r="BY66" i="8"/>
  <c r="BY65" i="8"/>
  <c r="BY67" i="8" s="1"/>
  <c r="BY68" i="8" s="1"/>
  <c r="F65" i="8"/>
  <c r="Q65" i="8"/>
  <c r="R65" i="8"/>
  <c r="AA65" i="8"/>
  <c r="AB65" i="8"/>
  <c r="AC65" i="8"/>
  <c r="AD65" i="8"/>
  <c r="AE65" i="8"/>
  <c r="AF65" i="8"/>
  <c r="AP65" i="8"/>
  <c r="AQ65" i="8"/>
  <c r="AR65" i="8"/>
  <c r="AS65" i="8"/>
  <c r="AT65" i="8"/>
  <c r="BA65" i="8"/>
  <c r="BB65" i="8"/>
  <c r="BO65" i="8"/>
  <c r="CB65" i="8"/>
  <c r="CD65" i="8"/>
  <c r="CB23" i="6"/>
  <c r="BZ23" i="6"/>
  <c r="BY24" i="6"/>
  <c r="BY27" i="6" s="1"/>
  <c r="BY25" i="6"/>
  <c r="BY26" i="6"/>
  <c r="BO23" i="6"/>
  <c r="BN25" i="6"/>
  <c r="BN24" i="6"/>
  <c r="BN26" i="6"/>
  <c r="BL24" i="6"/>
  <c r="BL26" i="6" s="1"/>
  <c r="BL25" i="6"/>
  <c r="BD23" i="6"/>
  <c r="BB24" i="6"/>
  <c r="AL23" i="6"/>
  <c r="AK23" i="6"/>
  <c r="AI23" i="6"/>
  <c r="AH23" i="6"/>
  <c r="AG23" i="6"/>
  <c r="AJ23" i="6"/>
  <c r="X24" i="6"/>
  <c r="X25" i="6"/>
  <c r="X26" i="6" s="1"/>
  <c r="X27" i="6" s="1"/>
  <c r="W24" i="6"/>
  <c r="W27" i="6" s="1"/>
  <c r="W25" i="6"/>
  <c r="W26" i="6"/>
  <c r="U23" i="6"/>
  <c r="T23" i="6"/>
  <c r="S23" i="6"/>
  <c r="P23" i="6"/>
  <c r="O23" i="6"/>
  <c r="N23" i="6"/>
  <c r="M23" i="6"/>
  <c r="AA23" i="6"/>
  <c r="AB23" i="6"/>
  <c r="AC23" i="6"/>
  <c r="AD23" i="6"/>
  <c r="AE23" i="6"/>
  <c r="AF23" i="6"/>
  <c r="AP23" i="6"/>
  <c r="AQ23" i="6"/>
  <c r="AR23" i="6"/>
  <c r="AS23" i="6"/>
  <c r="AT23" i="6"/>
  <c r="AU23" i="6"/>
  <c r="AV23" i="6"/>
  <c r="AW23" i="6"/>
  <c r="AX23" i="6"/>
  <c r="AY23" i="6"/>
  <c r="BB23" i="6"/>
  <c r="F23" i="6"/>
  <c r="CB68" i="7"/>
  <c r="BZ68" i="7"/>
  <c r="CB69" i="7"/>
  <c r="BZ69" i="7"/>
  <c r="CD68" i="7"/>
  <c r="BY68" i="7"/>
  <c r="BY69" i="7"/>
  <c r="BY70" i="7"/>
  <c r="BO70" i="7"/>
  <c r="BO69" i="7"/>
  <c r="BN68" i="7"/>
  <c r="BL68" i="7"/>
  <c r="BL69" i="7"/>
  <c r="BL70" i="7"/>
  <c r="BL71" i="7"/>
  <c r="BL72" i="7" s="1"/>
  <c r="BG36" i="5"/>
  <c r="BI69" i="7"/>
  <c r="BH69" i="7"/>
  <c r="BG69" i="7"/>
  <c r="BF69" i="7"/>
  <c r="BE69" i="7"/>
  <c r="BD69" i="7"/>
  <c r="BI68" i="7"/>
  <c r="BH68" i="7"/>
  <c r="BG68" i="7"/>
  <c r="BF68" i="7"/>
  <c r="BE68" i="7"/>
  <c r="BD68" i="7"/>
  <c r="BB69" i="7"/>
  <c r="AO70" i="7"/>
  <c r="AO71" i="7"/>
  <c r="AL68" i="7"/>
  <c r="AK68" i="7"/>
  <c r="AJ68" i="7"/>
  <c r="AI68" i="7"/>
  <c r="AH68" i="7"/>
  <c r="AG68" i="7"/>
  <c r="X69" i="7"/>
  <c r="X70" i="7"/>
  <c r="X71" i="7"/>
  <c r="X72" i="7" s="1"/>
  <c r="W69" i="7"/>
  <c r="W70" i="7"/>
  <c r="W71" i="7" s="1"/>
  <c r="W72" i="7" s="1"/>
  <c r="U68" i="7"/>
  <c r="T68" i="7"/>
  <c r="S68" i="7"/>
  <c r="P68" i="7"/>
  <c r="O68" i="7"/>
  <c r="N68" i="7"/>
  <c r="M68" i="7"/>
  <c r="AA68" i="7"/>
  <c r="AB68" i="7"/>
  <c r="AC68" i="7"/>
  <c r="AD68" i="7"/>
  <c r="AE68" i="7"/>
  <c r="AF68" i="7"/>
  <c r="BB68" i="7"/>
  <c r="F68" i="7"/>
  <c r="I68" i="7"/>
  <c r="J68" i="7"/>
  <c r="K68" i="7"/>
  <c r="L68" i="7"/>
  <c r="CA36" i="5"/>
  <c r="BY36" i="5"/>
  <c r="BX37" i="5"/>
  <c r="BX38" i="5"/>
  <c r="BR36" i="5"/>
  <c r="BQ36" i="5"/>
  <c r="BN36" i="5"/>
  <c r="BM39" i="5"/>
  <c r="BM38" i="5"/>
  <c r="BK41" i="5"/>
  <c r="BK38" i="5"/>
  <c r="BK39" i="5"/>
  <c r="BK40" i="5"/>
  <c r="BG185" i="2"/>
  <c r="BC37" i="5"/>
  <c r="BD37" i="5"/>
  <c r="BE37" i="5"/>
  <c r="BF37" i="5"/>
  <c r="BH37" i="5"/>
  <c r="BH36" i="5"/>
  <c r="BF36" i="5"/>
  <c r="BE36" i="5"/>
  <c r="BD36" i="5"/>
  <c r="BC36" i="5"/>
  <c r="BA37" i="5"/>
  <c r="AK36" i="5"/>
  <c r="AJ36" i="5"/>
  <c r="AH36" i="5"/>
  <c r="AG36" i="5"/>
  <c r="AF36" i="5"/>
  <c r="AI36" i="5"/>
  <c r="X37" i="5"/>
  <c r="X39" i="5" s="1"/>
  <c r="X40" i="5" s="1"/>
  <c r="X38" i="5"/>
  <c r="W37" i="5"/>
  <c r="W38" i="5"/>
  <c r="W39" i="5"/>
  <c r="W40" i="5" s="1"/>
  <c r="U36" i="5"/>
  <c r="T36" i="5"/>
  <c r="S36" i="5"/>
  <c r="P36" i="5"/>
  <c r="O36" i="5"/>
  <c r="N36" i="5"/>
  <c r="M36" i="5"/>
  <c r="AN39" i="5"/>
  <c r="BA36" i="5"/>
  <c r="AP36" i="5"/>
  <c r="AQ36" i="5"/>
  <c r="AR36" i="5"/>
  <c r="AS36" i="5"/>
  <c r="AT36" i="5"/>
  <c r="AU36" i="5"/>
  <c r="AV36" i="5"/>
  <c r="AW36" i="5"/>
  <c r="AX36" i="5"/>
  <c r="AO36" i="5"/>
  <c r="AA36" i="5"/>
  <c r="AB36" i="5"/>
  <c r="AC36" i="5"/>
  <c r="AD36" i="5"/>
  <c r="AE36" i="5"/>
  <c r="Z36" i="5"/>
  <c r="I36" i="5"/>
  <c r="K36" i="5"/>
  <c r="L36" i="5"/>
  <c r="AX196" i="2"/>
  <c r="AX195" i="2"/>
  <c r="AQ249" i="2"/>
  <c r="AQ222" i="2"/>
  <c r="AW178" i="2"/>
  <c r="BY177" i="2"/>
  <c r="AZ180" i="2"/>
  <c r="BD180" i="2"/>
  <c r="AW177" i="2"/>
  <c r="AJ182" i="2"/>
  <c r="AJ181" i="2"/>
  <c r="AJ180" i="2"/>
  <c r="AJ179" i="2"/>
  <c r="BW75" i="2"/>
  <c r="BW178" i="2" s="1"/>
  <c r="BY178" i="2"/>
  <c r="BU75" i="2"/>
  <c r="BU177" i="2" s="1"/>
  <c r="BJ181" i="2"/>
  <c r="BJ180" i="2"/>
  <c r="BJ179" i="2"/>
  <c r="BJ178" i="2"/>
  <c r="BT182" i="2"/>
  <c r="BT181" i="2"/>
  <c r="BT180" i="2"/>
  <c r="BL178" i="2"/>
  <c r="BM178" i="2"/>
  <c r="BN178" i="2"/>
  <c r="BO178" i="2"/>
  <c r="BP178" i="2"/>
  <c r="BQ178" i="2"/>
  <c r="BR178" i="2"/>
  <c r="BK178" i="2"/>
  <c r="BJ185" i="2"/>
  <c r="BJ184" i="2"/>
  <c r="BJ183" i="2"/>
  <c r="BJ186" i="2" s="1"/>
  <c r="BG183" i="2"/>
  <c r="BG182" i="2"/>
  <c r="BG181" i="2"/>
  <c r="BG180" i="2"/>
  <c r="AZ179" i="2"/>
  <c r="BD179" i="2"/>
  <c r="AZ178" i="2"/>
  <c r="BD178" i="2"/>
  <c r="BA41" i="2"/>
  <c r="AY41" i="2"/>
  <c r="BA147" i="2"/>
  <c r="BC147" i="2"/>
  <c r="BC179" i="2" s="1"/>
  <c r="AY147" i="2"/>
  <c r="BB141" i="2"/>
  <c r="BB178" i="2" s="1"/>
  <c r="AW179" i="2"/>
  <c r="BU178" i="2"/>
  <c r="X178" i="2"/>
  <c r="Y178" i="2"/>
  <c r="Z178" i="2"/>
  <c r="AA178" i="2"/>
  <c r="AB178" i="2"/>
  <c r="W178" i="2"/>
  <c r="Q178" i="2"/>
  <c r="R178" i="2"/>
  <c r="S178" i="2"/>
  <c r="E178" i="2"/>
  <c r="G36" i="9"/>
  <c r="S181" i="2" l="1"/>
  <c r="Q181" i="2"/>
  <c r="R181" i="2"/>
  <c r="BC178" i="2"/>
  <c r="BC180" i="2"/>
  <c r="AY180" i="2"/>
  <c r="AJ183" i="2"/>
  <c r="AJ184" i="2" s="1"/>
  <c r="L179" i="2"/>
  <c r="L182" i="2"/>
  <c r="O193" i="2"/>
  <c r="L178" i="2"/>
  <c r="O182" i="2"/>
  <c r="O179" i="2"/>
  <c r="N179" i="2"/>
  <c r="N182" i="2"/>
  <c r="M179" i="2"/>
  <c r="M182" i="2"/>
  <c r="AY179" i="2"/>
  <c r="AO72" i="7"/>
  <c r="AO73" i="7" s="1"/>
  <c r="AP188" i="2"/>
  <c r="AQ188" i="2" s="1"/>
  <c r="AR188" i="2" s="1"/>
  <c r="AU70" i="7"/>
  <c r="AU71" i="7"/>
  <c r="AR182" i="2"/>
  <c r="AR183" i="2"/>
  <c r="AT182" i="2"/>
  <c r="AT183" i="2"/>
  <c r="AS183" i="2"/>
  <c r="AS182" i="2"/>
  <c r="AQ182" i="2"/>
  <c r="AQ183" i="2"/>
  <c r="AP182" i="2"/>
  <c r="AP183" i="2"/>
  <c r="AP186" i="2"/>
  <c r="AP248" i="2"/>
  <c r="AQ248" i="2" s="1"/>
  <c r="BA180" i="2"/>
  <c r="P68" i="8"/>
  <c r="M68" i="8"/>
  <c r="O68" i="8"/>
  <c r="N68" i="8"/>
  <c r="BX39" i="5"/>
  <c r="AN40" i="5"/>
  <c r="AN43" i="5" s="1"/>
  <c r="J36" i="5"/>
  <c r="BK42" i="5"/>
  <c r="BK44" i="5" s="1"/>
  <c r="N41" i="5"/>
  <c r="N42" i="5" s="1"/>
  <c r="O41" i="5"/>
  <c r="O42" i="5" s="1"/>
  <c r="P41" i="5"/>
  <c r="P42" i="5" s="1"/>
  <c r="M41" i="5"/>
  <c r="BG184" i="2"/>
  <c r="BG187" i="2" s="1"/>
  <c r="BB179" i="2"/>
  <c r="BT183" i="2"/>
  <c r="BT185" i="2" s="1"/>
  <c r="BB180" i="2"/>
  <c r="BA179" i="2"/>
  <c r="AJ186" i="2"/>
  <c r="BA178" i="2"/>
  <c r="AJ185" i="2"/>
  <c r="AX187" i="2"/>
  <c r="AX188" i="2" s="1"/>
  <c r="N178" i="2"/>
  <c r="G155" i="2"/>
  <c r="AF181" i="2" s="1"/>
  <c r="AJ192" i="2"/>
  <c r="BK47" i="5"/>
  <c r="AY178" i="2"/>
  <c r="BW177" i="2"/>
  <c r="AA67" i="9"/>
  <c r="BK46" i="5"/>
  <c r="L37" i="5"/>
  <c r="BL73" i="7"/>
  <c r="AO30" i="6"/>
  <c r="AO68" i="8"/>
  <c r="W68" i="8"/>
  <c r="AW189" i="2"/>
  <c r="AW190" i="2" s="1"/>
  <c r="E66" i="9"/>
  <c r="G66" i="9" s="1"/>
  <c r="BL27" i="6"/>
  <c r="BN27" i="6"/>
  <c r="X68" i="8"/>
  <c r="J37" i="5"/>
  <c r="P66" i="9"/>
  <c r="S66" i="9"/>
  <c r="AU188" i="2" l="1"/>
  <c r="AI181" i="2"/>
  <c r="AF187" i="2" s="1"/>
  <c r="G183" i="2"/>
  <c r="G189" i="2"/>
  <c r="G190" i="2"/>
  <c r="M181" i="2"/>
  <c r="O181" i="2"/>
  <c r="O188" i="2" s="1"/>
  <c r="N193" i="2"/>
  <c r="N181" i="2"/>
  <c r="N188" i="2" s="1"/>
  <c r="L193" i="2"/>
  <c r="L181" i="2"/>
  <c r="L188" i="2" s="1"/>
  <c r="AQ186" i="2"/>
  <c r="AR186" i="2" s="1"/>
  <c r="AU182" i="2"/>
  <c r="AK73" i="7"/>
  <c r="AH73" i="7"/>
  <c r="AL73" i="7"/>
  <c r="AI73" i="7"/>
  <c r="AG73" i="7"/>
  <c r="AJ73" i="7"/>
  <c r="AN42" i="5"/>
  <c r="L45" i="5"/>
  <c r="M42" i="5"/>
  <c r="AR222" i="2"/>
  <c r="AQ223" i="2"/>
  <c r="AR223" i="2" s="1"/>
  <c r="AO225" i="2" s="1"/>
  <c r="BG188" i="2"/>
  <c r="BG186" i="2"/>
  <c r="G178" i="2"/>
  <c r="G182" i="2" s="1"/>
  <c r="H182" i="2" s="1"/>
  <c r="I189" i="2" s="1"/>
  <c r="AO71" i="8"/>
  <c r="AO72" i="8"/>
  <c r="AO70" i="8"/>
  <c r="H190" i="2" l="1"/>
  <c r="AC187" i="2"/>
  <c r="AE187" i="2"/>
  <c r="AD187" i="2"/>
  <c r="AG187" i="2"/>
  <c r="AH187" i="2"/>
  <c r="I190" i="2"/>
  <c r="L194" i="2"/>
  <c r="O190" i="2"/>
  <c r="O196" i="2" s="1"/>
  <c r="O189" i="2"/>
  <c r="O195" i="2" s="1"/>
  <c r="O191" i="2"/>
  <c r="O197" i="2" s="1"/>
  <c r="H189" i="2"/>
  <c r="H192" i="2"/>
  <c r="I192" i="2" s="1"/>
  <c r="H191" i="2"/>
  <c r="I191" i="2" s="1"/>
  <c r="H193" i="2"/>
  <c r="I193" i="2" s="1"/>
  <c r="N194" i="2"/>
  <c r="M191" i="2"/>
  <c r="M197" i="2" s="1"/>
  <c r="M189" i="2"/>
  <c r="M195" i="2" s="1"/>
  <c r="M190" i="2"/>
  <c r="M196" i="2" s="1"/>
  <c r="L190" i="2"/>
  <c r="L196" i="2" s="1"/>
  <c r="L189" i="2"/>
  <c r="L195" i="2" s="1"/>
  <c r="L191" i="2"/>
  <c r="L197" i="2" s="1"/>
  <c r="N191" i="2"/>
  <c r="N197" i="2" s="1"/>
  <c r="N189" i="2"/>
  <c r="N195" i="2" s="1"/>
  <c r="N190" i="2"/>
  <c r="N196" i="2" s="1"/>
  <c r="O194" i="2"/>
  <c r="M188" i="2"/>
  <c r="AP201" i="2"/>
  <c r="AQ202" i="2" s="1"/>
  <c r="AP203" i="2"/>
  <c r="AJ42" i="5"/>
  <c r="AG42" i="5"/>
  <c r="AK42" i="5"/>
  <c r="AH42" i="5"/>
  <c r="AF42" i="5"/>
  <c r="AI42" i="5"/>
  <c r="AI187" i="2" l="1"/>
  <c r="M187" i="2"/>
  <c r="M194" i="2"/>
  <c r="N187" i="2"/>
  <c r="L187" i="2"/>
  <c r="O187" i="2"/>
  <c r="AQ203" i="2"/>
</calcChain>
</file>

<file path=xl/comments1.xml><?xml version="1.0" encoding="utf-8"?>
<comments xmlns="http://schemas.openxmlformats.org/spreadsheetml/2006/main">
  <authors>
    <author>zack shiner</author>
  </authors>
  <commentList>
    <comment ref="AY11" authorId="0" shapeId="0">
      <text>
        <r>
          <rPr>
            <b/>
            <sz val="9"/>
            <color indexed="81"/>
            <rFont val="Tahoma"/>
            <family val="2"/>
          </rPr>
          <t>zack shiner:</t>
        </r>
        <r>
          <rPr>
            <sz val="9"/>
            <color indexed="81"/>
            <rFont val="Tahoma"/>
            <family val="2"/>
          </rPr>
          <t xml:space="preserve">
colored mulch</t>
        </r>
      </text>
    </comment>
    <comment ref="BA11" authorId="0" shapeId="0">
      <text>
        <r>
          <rPr>
            <b/>
            <sz val="9"/>
            <color indexed="81"/>
            <rFont val="Tahoma"/>
            <family val="2"/>
          </rPr>
          <t>zack shiner:</t>
        </r>
        <r>
          <rPr>
            <sz val="9"/>
            <color indexed="81"/>
            <rFont val="Tahoma"/>
            <family val="2"/>
          </rPr>
          <t xml:space="preserve">
non colored mulch</t>
        </r>
      </text>
    </comment>
    <comment ref="BA37" authorId="0" shapeId="0">
      <text>
        <r>
          <rPr>
            <b/>
            <sz val="9"/>
            <color indexed="81"/>
            <rFont val="Tahoma"/>
            <family val="2"/>
          </rPr>
          <t>zack shiner:</t>
        </r>
        <r>
          <rPr>
            <sz val="9"/>
            <color indexed="81"/>
            <rFont val="Tahoma"/>
            <family val="2"/>
          </rPr>
          <t xml:space="preserve">
still signifcant because it represents prices</t>
        </r>
      </text>
    </comment>
    <comment ref="BA41" authorId="0" shapeId="0">
      <text>
        <r>
          <rPr>
            <b/>
            <sz val="9"/>
            <color indexed="81"/>
            <rFont val="Tahoma"/>
            <family val="2"/>
          </rPr>
          <t>zack shiner:</t>
        </r>
        <r>
          <rPr>
            <sz val="9"/>
            <color indexed="81"/>
            <rFont val="Tahoma"/>
            <family val="2"/>
          </rPr>
          <t xml:space="preserve">
had multiple category converted from yard</t>
        </r>
      </text>
    </comment>
    <comment ref="AZ42" authorId="0" shapeId="0">
      <text>
        <r>
          <rPr>
            <b/>
            <sz val="9"/>
            <color indexed="81"/>
            <rFont val="Tahoma"/>
            <family val="2"/>
          </rPr>
          <t>zack shiner:</t>
        </r>
        <r>
          <rPr>
            <sz val="9"/>
            <color indexed="81"/>
            <rFont val="Tahoma"/>
            <family val="2"/>
          </rPr>
          <t xml:space="preserve">
distributed over multiple categories
</t>
        </r>
      </text>
    </comment>
  </commentList>
</comments>
</file>

<file path=xl/comments2.xml><?xml version="1.0" encoding="utf-8"?>
<comments xmlns="http://schemas.openxmlformats.org/spreadsheetml/2006/main">
  <authors>
    <author>zack shiner</author>
  </authors>
  <commentList>
    <comment ref="BF18" authorId="0" shapeId="0">
      <text>
        <r>
          <rPr>
            <b/>
            <sz val="9"/>
            <color indexed="81"/>
            <rFont val="Tahoma"/>
            <family val="2"/>
          </rPr>
          <t>zack shiner:</t>
        </r>
        <r>
          <rPr>
            <sz val="9"/>
            <color indexed="81"/>
            <rFont val="Tahoma"/>
            <family val="2"/>
          </rPr>
          <t xml:space="preserve">
still signifcant because it represents prices</t>
        </r>
      </text>
    </comment>
    <comment ref="BF22" authorId="0" shapeId="0">
      <text>
        <r>
          <rPr>
            <b/>
            <sz val="9"/>
            <color indexed="81"/>
            <rFont val="Tahoma"/>
            <family val="2"/>
          </rPr>
          <t>zack shiner:</t>
        </r>
        <r>
          <rPr>
            <sz val="9"/>
            <color indexed="81"/>
            <rFont val="Tahoma"/>
            <family val="2"/>
          </rPr>
          <t xml:space="preserve">
had multiple category converted from yard</t>
        </r>
      </text>
    </comment>
    <comment ref="BE23" authorId="0" shapeId="0">
      <text>
        <r>
          <rPr>
            <b/>
            <sz val="9"/>
            <color indexed="81"/>
            <rFont val="Tahoma"/>
            <family val="2"/>
          </rPr>
          <t>zack shiner:</t>
        </r>
        <r>
          <rPr>
            <sz val="9"/>
            <color indexed="81"/>
            <rFont val="Tahoma"/>
            <family val="2"/>
          </rPr>
          <t xml:space="preserve">
distributed over multiple categories
</t>
        </r>
      </text>
    </comment>
  </commentList>
</comments>
</file>

<file path=xl/comments3.xml><?xml version="1.0" encoding="utf-8"?>
<comments xmlns="http://schemas.openxmlformats.org/spreadsheetml/2006/main">
  <authors>
    <author>zack shiner</author>
  </authors>
  <commentList>
    <comment ref="BE77" authorId="0" shapeId="0">
      <text>
        <r>
          <rPr>
            <b/>
            <sz val="9"/>
            <color indexed="81"/>
            <rFont val="Tahoma"/>
            <family val="2"/>
          </rPr>
          <t>zack shiner:</t>
        </r>
        <r>
          <rPr>
            <sz val="9"/>
            <color indexed="81"/>
            <rFont val="Tahoma"/>
            <family val="2"/>
          </rPr>
          <t xml:space="preserve">
still signifcant because it represents prices</t>
        </r>
      </text>
    </comment>
    <comment ref="BE81" authorId="0" shapeId="0">
      <text>
        <r>
          <rPr>
            <b/>
            <sz val="9"/>
            <color indexed="81"/>
            <rFont val="Tahoma"/>
            <family val="2"/>
          </rPr>
          <t>zack shiner:</t>
        </r>
        <r>
          <rPr>
            <sz val="9"/>
            <color indexed="81"/>
            <rFont val="Tahoma"/>
            <family val="2"/>
          </rPr>
          <t xml:space="preserve">
had multiple category converted from yard</t>
        </r>
      </text>
    </comment>
    <comment ref="BD82" authorId="0" shapeId="0">
      <text>
        <r>
          <rPr>
            <b/>
            <sz val="9"/>
            <color indexed="81"/>
            <rFont val="Tahoma"/>
            <family val="2"/>
          </rPr>
          <t>zack shiner:</t>
        </r>
        <r>
          <rPr>
            <sz val="9"/>
            <color indexed="81"/>
            <rFont val="Tahoma"/>
            <family val="2"/>
          </rPr>
          <t xml:space="preserve">
distributed over multiple categories
</t>
        </r>
      </text>
    </comment>
    <comment ref="BC133" authorId="0" shapeId="0">
      <text>
        <r>
          <rPr>
            <b/>
            <sz val="9"/>
            <color indexed="81"/>
            <rFont val="Tahoma"/>
            <family val="2"/>
          </rPr>
          <t>zack shiner:</t>
        </r>
        <r>
          <rPr>
            <sz val="9"/>
            <color indexed="81"/>
            <rFont val="Tahoma"/>
            <family val="2"/>
          </rPr>
          <t xml:space="preserve">
colored mulch</t>
        </r>
      </text>
    </comment>
    <comment ref="BE133" authorId="0" shapeId="0">
      <text>
        <r>
          <rPr>
            <b/>
            <sz val="9"/>
            <color indexed="81"/>
            <rFont val="Tahoma"/>
            <family val="2"/>
          </rPr>
          <t>zack shiner:</t>
        </r>
        <r>
          <rPr>
            <sz val="9"/>
            <color indexed="81"/>
            <rFont val="Tahoma"/>
            <family val="2"/>
          </rPr>
          <t xml:space="preserve">
non colored mulch</t>
        </r>
      </text>
    </comment>
  </commentList>
</comments>
</file>

<file path=xl/comments4.xml><?xml version="1.0" encoding="utf-8"?>
<comments xmlns="http://schemas.openxmlformats.org/spreadsheetml/2006/main">
  <authors>
    <author>zack shiner</author>
  </authors>
  <commentList>
    <comment ref="BD7" authorId="0" shapeId="0">
      <text>
        <r>
          <rPr>
            <b/>
            <sz val="9"/>
            <color indexed="81"/>
            <rFont val="Tahoma"/>
            <family val="2"/>
          </rPr>
          <t>zack shiner:</t>
        </r>
        <r>
          <rPr>
            <sz val="9"/>
            <color indexed="81"/>
            <rFont val="Tahoma"/>
            <family val="2"/>
          </rPr>
          <t xml:space="preserve">
colored mulch</t>
        </r>
      </text>
    </comment>
    <comment ref="BF7" authorId="0" shapeId="0">
      <text>
        <r>
          <rPr>
            <b/>
            <sz val="9"/>
            <color indexed="81"/>
            <rFont val="Tahoma"/>
            <family val="2"/>
          </rPr>
          <t>zack shiner:</t>
        </r>
        <r>
          <rPr>
            <sz val="9"/>
            <color indexed="81"/>
            <rFont val="Tahoma"/>
            <family val="2"/>
          </rPr>
          <t xml:space="preserve">
non colored mulch</t>
        </r>
      </text>
    </comment>
  </commentList>
</comments>
</file>

<file path=xl/sharedStrings.xml><?xml version="1.0" encoding="utf-8"?>
<sst xmlns="http://schemas.openxmlformats.org/spreadsheetml/2006/main" count="7892" uniqueCount="356">
  <si>
    <t>C&amp;D</t>
  </si>
  <si>
    <t>Pallets and Crates</t>
  </si>
  <si>
    <t>Other Recycable Wood</t>
  </si>
  <si>
    <t>CIWMB2004</t>
  </si>
  <si>
    <t>CIWMB2005</t>
  </si>
  <si>
    <t>CIWMB2006</t>
  </si>
  <si>
    <t>Branches and Stumps</t>
  </si>
  <si>
    <t>CIWMB2007</t>
  </si>
  <si>
    <t>Volume-to-Weight Conversion Factors</t>
  </si>
  <si>
    <t>Subclass</t>
  </si>
  <si>
    <t>Conversion Factor</t>
  </si>
  <si>
    <t>Source</t>
  </si>
  <si>
    <t>serial</t>
  </si>
  <si>
    <t>Florida</t>
  </si>
  <si>
    <t>Nebraska</t>
  </si>
  <si>
    <t>California</t>
  </si>
  <si>
    <t>Virginia</t>
  </si>
  <si>
    <t>Arizona</t>
  </si>
  <si>
    <t>Arkansas</t>
  </si>
  <si>
    <t>Colorado</t>
  </si>
  <si>
    <t>Delaware</t>
  </si>
  <si>
    <t>Georgia</t>
  </si>
  <si>
    <t>Illinois</t>
  </si>
  <si>
    <t>Indiana</t>
  </si>
  <si>
    <t>Kentucky</t>
  </si>
  <si>
    <t>Louisiana</t>
  </si>
  <si>
    <t>Maine</t>
  </si>
  <si>
    <t>Maryland</t>
  </si>
  <si>
    <t>Massachusetts</t>
  </si>
  <si>
    <t>Michigan</t>
  </si>
  <si>
    <t>Minnesota</t>
  </si>
  <si>
    <t>New Jersey</t>
  </si>
  <si>
    <t>New Mexico</t>
  </si>
  <si>
    <t>New York</t>
  </si>
  <si>
    <t>North Carolina</t>
  </si>
  <si>
    <t>North Dakota</t>
  </si>
  <si>
    <t>Ohio</t>
  </si>
  <si>
    <t>Oklahoma</t>
  </si>
  <si>
    <t>Oregon</t>
  </si>
  <si>
    <t>South Dakota</t>
  </si>
  <si>
    <t>Tennessee</t>
  </si>
  <si>
    <t>Utah</t>
  </si>
  <si>
    <t>Washington</t>
  </si>
  <si>
    <t>WASHINGTON</t>
  </si>
  <si>
    <t>West Virginia</t>
  </si>
  <si>
    <t>Wisconsin</t>
  </si>
  <si>
    <t>Wyoming</t>
  </si>
  <si>
    <t>Idaho</t>
  </si>
  <si>
    <t>Montana</t>
  </si>
  <si>
    <t>Kansas</t>
  </si>
  <si>
    <t>Texas</t>
  </si>
  <si>
    <t>Vermont</t>
  </si>
  <si>
    <t>Pennsylvania</t>
  </si>
  <si>
    <t>Mississippi</t>
  </si>
  <si>
    <t>Nevada</t>
  </si>
  <si>
    <t>New Hampshite</t>
  </si>
  <si>
    <t>Iowa</t>
  </si>
  <si>
    <t>Missouri</t>
  </si>
  <si>
    <t>ONLINE</t>
  </si>
  <si>
    <t>MAIL</t>
  </si>
  <si>
    <t>Mail</t>
  </si>
  <si>
    <t>Online</t>
  </si>
  <si>
    <t>Response Type</t>
  </si>
  <si>
    <t>NO</t>
  </si>
  <si>
    <t>YES</t>
  </si>
  <si>
    <t>GOOD</t>
  </si>
  <si>
    <t>NO RESPONSE</t>
  </si>
  <si>
    <t>lf wood %</t>
  </si>
  <si>
    <t>lf normal %</t>
  </si>
  <si>
    <t>wood rec %</t>
  </si>
  <si>
    <t>Normal rec %</t>
  </si>
  <si>
    <t>Landfilled Wood (Tons)</t>
  </si>
  <si>
    <t>Landfilled Normal (Tons)</t>
  </si>
  <si>
    <t>Wood Recovered (Tons)</t>
  </si>
  <si>
    <t>Normal Waste Recovered (Tons)</t>
  </si>
  <si>
    <t>Percentage converted off sum total</t>
  </si>
  <si>
    <t>Good</t>
  </si>
  <si>
    <t>No Response</t>
  </si>
  <si>
    <t>Normal MSW $/ton</t>
  </si>
  <si>
    <t>Recovered Wood and Brush ($/ton)</t>
  </si>
  <si>
    <t>Recovered Pallets ($/ton)</t>
  </si>
  <si>
    <t xml:space="preserve">Q6 Status </t>
  </si>
  <si>
    <t>Waste Breakdown by Category</t>
  </si>
  <si>
    <t>Estimated Tonnage Received</t>
  </si>
  <si>
    <t>Estimated Population</t>
  </si>
  <si>
    <t>State</t>
  </si>
  <si>
    <t>TONNAGE  STATUS</t>
  </si>
  <si>
    <t>Tonnage</t>
  </si>
  <si>
    <t>Tipping Fees</t>
  </si>
  <si>
    <t>Yes</t>
  </si>
  <si>
    <t>No</t>
  </si>
  <si>
    <t>We reuse all pallets in the recycling stream</t>
  </si>
  <si>
    <t>Clean wood pallets are ground and colored then sold as a landscape product</t>
  </si>
  <si>
    <t>Currently use pallets as road base for landfill roads</t>
  </si>
  <si>
    <t>We offer residents and businesses the opportunity to recycle pallets at our Yard Waste Site.  http://www.bcswmd.com/yard1.php</t>
  </si>
  <si>
    <t xml:space="preserve">We separate wood pallets and grind them with a horizontal grinder.  </t>
  </si>
  <si>
    <t>Pallets were banned for disposal in MSW landfills by NCDEQ</t>
  </si>
  <si>
    <t>Wood pallets are banned for disposal in all NC landfills.  Our landfill processes the wood pallets as part of our construction and demolition debris recycling program.  The pallets are later ground and used as either boiler fuel or for mulch products.</t>
  </si>
  <si>
    <t>Pallets if untreated or painted are ground as wood chips</t>
  </si>
  <si>
    <t>When they are received with solid wasate, otherwise they would go to construction.</t>
  </si>
  <si>
    <t>We divert pallets to be ground into mulch</t>
  </si>
  <si>
    <t>They are "clean" wood and can be chipped and used by industry.</t>
  </si>
  <si>
    <t>Wood pallets are burned, reused, or repurposed</t>
  </si>
  <si>
    <t>We get so few we save them for use with gaylords</t>
  </si>
  <si>
    <t>We currently grind the pallets and use them as part of our Alternative Daily Cover Program.</t>
  </si>
  <si>
    <t>We grind and use for daily cover</t>
  </si>
  <si>
    <t>We do not landfill wood pallets. We chip all wood products, with the exception of pressure treated wood and railroad ties.</t>
  </si>
  <si>
    <t>We include pallets into our brush/wood waste stream for chipping and compacting for use as a soil amendment for our final cover</t>
  </si>
  <si>
    <t>Wood pallets are accepted for free.  They are ground into mulch and used as composting material.</t>
  </si>
  <si>
    <t>we put all our wood products into a burn pile</t>
  </si>
  <si>
    <t>All wood goes to the wood pile for grinidng</t>
  </si>
  <si>
    <t>Wood pallets are banned in North Carolina.  We reuse the painted ones in recycling operations, and grind the rest into mulch that is mixed with soil and used as an alternate daily cover.</t>
  </si>
  <si>
    <t>wood pallets are banned from landfills in NC.  We generally do not take any C and D waste but allow residents to bring some</t>
  </si>
  <si>
    <t xml:space="preserve">We grind all pallets going into the landfill cell to save space. We mix pallet and C&amp;D waste that has been ground up with some of our Boi-waste coming from our Waste Water Treatment plant. The polymers mixes with the ground up pallets/C&amp;D give us about 40% greater compaction.  </t>
  </si>
  <si>
    <t>Accept Wood LF?</t>
  </si>
  <si>
    <t>Accept Pallet LF?</t>
  </si>
  <si>
    <t>Wood/Pallet Acceptance</t>
  </si>
  <si>
    <t>Why not?</t>
  </si>
  <si>
    <t>Sum</t>
  </si>
  <si>
    <t>Pallets %</t>
  </si>
  <si>
    <t>Crates %</t>
  </si>
  <si>
    <t>Const. %</t>
  </si>
  <si>
    <t>Treated %</t>
  </si>
  <si>
    <t>Yard waste %</t>
  </si>
  <si>
    <t>Other %</t>
  </si>
  <si>
    <t>Pallets (tons)</t>
  </si>
  <si>
    <t>Crates (tons)</t>
  </si>
  <si>
    <t>Const. (tons)</t>
  </si>
  <si>
    <t>Treated (tons)</t>
  </si>
  <si>
    <t>Yard waste (tons)</t>
  </si>
  <si>
    <t>Other (tons)</t>
  </si>
  <si>
    <t>Wood Landfilled by cateogry</t>
  </si>
  <si>
    <t>Wood LF Status</t>
  </si>
  <si>
    <t>Wood LF Percentages Converted</t>
  </si>
  <si>
    <t>TWO</t>
  </si>
  <si>
    <t>Operate wood recovery area?</t>
  </si>
  <si>
    <t>Wood recovery area?</t>
  </si>
  <si>
    <t>SUM</t>
  </si>
  <si>
    <t>Converted</t>
  </si>
  <si>
    <t>Construction Wood %</t>
  </si>
  <si>
    <t>Woody Yard %</t>
  </si>
  <si>
    <t>Pallets Tonnage</t>
  </si>
  <si>
    <t>Crates Tonnage</t>
  </si>
  <si>
    <t>Construction Tonnage</t>
  </si>
  <si>
    <t>Woody Yard Waste Ton age</t>
  </si>
  <si>
    <t>Other Tonnage</t>
  </si>
  <si>
    <t>STATUS</t>
  </si>
  <si>
    <t>Wood Recovered by Category</t>
  </si>
  <si>
    <t>Q12: ADC Tonnage</t>
  </si>
  <si>
    <t>Alternative Daily Cover</t>
  </si>
  <si>
    <t>Commercial $/ton</t>
  </si>
  <si>
    <t>Commerical Ton</t>
  </si>
  <si>
    <t>Residential $/ton</t>
  </si>
  <si>
    <t>Residential tonnage</t>
  </si>
  <si>
    <t>Other $/ton</t>
  </si>
  <si>
    <t>Other tonnage</t>
  </si>
  <si>
    <t>INDICATE THEY DO NOT SELL</t>
  </si>
  <si>
    <t>Chipped Wood Sales</t>
  </si>
  <si>
    <t>OTHER</t>
  </si>
  <si>
    <t>REPAIR</t>
  </si>
  <si>
    <t>Recycler</t>
  </si>
  <si>
    <t>Separate pallets for recovery?</t>
  </si>
  <si>
    <t>Separate Wood Pallets</t>
  </si>
  <si>
    <t>STATUS:</t>
  </si>
  <si>
    <t>Recovery 2+ years?</t>
  </si>
  <si>
    <t>Change in volume of recovered wood pallets</t>
  </si>
  <si>
    <t>change in volume</t>
  </si>
  <si>
    <t>repaired $/pallet</t>
  </si>
  <si>
    <t>repaired # of pallets</t>
  </si>
  <si>
    <t>sold to recycler $/pallet</t>
  </si>
  <si>
    <t>sold to recycler # of pallets</t>
  </si>
  <si>
    <t>other $/pallet</t>
  </si>
  <si>
    <t>other uses # of pallets</t>
  </si>
  <si>
    <t>Pallets Sold?</t>
  </si>
  <si>
    <t>no</t>
  </si>
  <si>
    <t>Convert WTE</t>
  </si>
  <si>
    <t>WTE</t>
  </si>
  <si>
    <t>Tonnage converted</t>
  </si>
  <si>
    <t>% Wood</t>
  </si>
  <si>
    <t>Ton Wood</t>
  </si>
  <si>
    <t>Average</t>
  </si>
  <si>
    <t>Wood LF?</t>
  </si>
  <si>
    <t>Pallet LF?</t>
  </si>
  <si>
    <t>TOTAL</t>
  </si>
  <si>
    <t>% Yes</t>
  </si>
  <si>
    <t>Count</t>
  </si>
  <si>
    <t>Average w/ 0</t>
  </si>
  <si>
    <t>Yes for other uses</t>
  </si>
  <si>
    <t>Yes for repair</t>
  </si>
  <si>
    <t>Total</t>
  </si>
  <si>
    <t>sum</t>
  </si>
  <si>
    <t>total</t>
  </si>
  <si>
    <t>% Repair</t>
  </si>
  <si>
    <t>% Other</t>
  </si>
  <si>
    <t>% seeing change</t>
  </si>
  <si>
    <t>Indicated did not sell</t>
  </si>
  <si>
    <t>YEs</t>
  </si>
  <si>
    <t>% Operating WTE</t>
  </si>
  <si>
    <t>WTE Composition</t>
  </si>
  <si>
    <t>&gt; 0</t>
  </si>
  <si>
    <t xml:space="preserve">&lt; 0 </t>
  </si>
  <si>
    <t>No response</t>
  </si>
  <si>
    <t>Average w/o 0</t>
  </si>
  <si>
    <t>Pallets</t>
  </si>
  <si>
    <t>Percentage Recovering</t>
  </si>
  <si>
    <t>Year</t>
  </si>
  <si>
    <t>Total Wood Waste Recovered</t>
  </si>
  <si>
    <t>Tons</t>
  </si>
  <si>
    <t>Normal MSW ($/ton)</t>
  </si>
  <si>
    <t>Region</t>
  </si>
  <si>
    <t>South</t>
  </si>
  <si>
    <t>Midwest</t>
  </si>
  <si>
    <t>West</t>
  </si>
  <si>
    <t>Northeast</t>
  </si>
  <si>
    <t># YES</t>
  </si>
  <si>
    <t># NO</t>
  </si>
  <si>
    <t>% YES</t>
  </si>
  <si>
    <t># TWO</t>
  </si>
  <si>
    <t>% TWO</t>
  </si>
  <si>
    <t>RECYCLER</t>
  </si>
  <si>
    <t>% other</t>
  </si>
  <si>
    <t>% repair</t>
  </si>
  <si>
    <t>% NO</t>
  </si>
  <si>
    <t>% Recycler</t>
  </si>
  <si>
    <t>ZERO</t>
  </si>
  <si>
    <t>AVERAGE</t>
  </si>
  <si>
    <t>w/o 0</t>
  </si>
  <si>
    <t>COUNT</t>
  </si>
  <si>
    <t>% OTHER</t>
  </si>
  <si>
    <t>average</t>
  </si>
  <si>
    <t>for road base</t>
  </si>
  <si>
    <t>Please describe</t>
  </si>
  <si>
    <t>we give away good reusable pallets to the public</t>
  </si>
  <si>
    <t>we separate some for re-use by residents, minimal amount</t>
  </si>
  <si>
    <t>Pallets in good shape are made available to residents for free</t>
  </si>
  <si>
    <t>Groudn and used for wet weather road and turn around base in landfill</t>
  </si>
  <si>
    <t>The pallets are ground and used for fuel or bedding</t>
  </si>
  <si>
    <t>ground and sold for boiler fuel</t>
  </si>
  <si>
    <t>We use in our own recycling building if in good enough shape</t>
  </si>
  <si>
    <t>Good pallets are put aside for the public to take</t>
  </si>
  <si>
    <t>We use pallets for shipping other recycling out as E-Waste</t>
  </si>
  <si>
    <t>ground for hog fuel</t>
  </si>
  <si>
    <t>ground into mulch and used for composting</t>
  </si>
  <si>
    <t>Pallets were ground up and used for erosion repairand processing grit/grease trap</t>
  </si>
  <si>
    <t>we grind up all wood to mix with cover material</t>
  </si>
  <si>
    <t>ground for mulch</t>
  </si>
  <si>
    <t>ADC</t>
  </si>
  <si>
    <t>We burn untreated pallets in our air curtain destructor</t>
  </si>
  <si>
    <t>give away to residents for different uses</t>
  </si>
  <si>
    <t>shipping E-waste and batteries off site</t>
  </si>
  <si>
    <t>chipped wood</t>
  </si>
  <si>
    <t>Average tonnage overall</t>
  </si>
  <si>
    <t>Average by category</t>
  </si>
  <si>
    <t>total waste received</t>
  </si>
  <si>
    <t>AVG</t>
  </si>
  <si>
    <t>Nat Total</t>
  </si>
  <si>
    <t>Whole dataset</t>
  </si>
  <si>
    <t>sum of tonnages</t>
  </si>
  <si>
    <t>Sum Wood LF</t>
  </si>
  <si>
    <t>LF Normal</t>
  </si>
  <si>
    <t>Wod Rec</t>
  </si>
  <si>
    <t>Normal Rec</t>
  </si>
  <si>
    <t>Sum of Tonnqges</t>
  </si>
  <si>
    <t xml:space="preserve">Wood LF </t>
  </si>
  <si>
    <t>Normal LF</t>
  </si>
  <si>
    <t>Wood Rec</t>
  </si>
  <si>
    <t>Percentage</t>
  </si>
  <si>
    <t>Sum of Wood LF</t>
  </si>
  <si>
    <t>Sum of Wood LF Tonnage</t>
  </si>
  <si>
    <t>Sum of Categories</t>
  </si>
  <si>
    <t>Tonnages</t>
  </si>
  <si>
    <t>Sum of Wood LF Categories</t>
  </si>
  <si>
    <t>National</t>
  </si>
  <si>
    <t>Number of Pallets</t>
  </si>
  <si>
    <t>Total Tonnage of pallets LF</t>
  </si>
  <si>
    <t>Total Number of Pallets lLandfilled</t>
  </si>
  <si>
    <t>Total Wood Recovered (weighted)</t>
  </si>
  <si>
    <t>Sum of each category Wood Rec</t>
  </si>
  <si>
    <t>Percentage of Each Category</t>
  </si>
  <si>
    <t>Weighted Tonnages</t>
  </si>
  <si>
    <t>Per Facility</t>
  </si>
  <si>
    <t>Facility Tonnage</t>
  </si>
  <si>
    <t>Sum of categories</t>
  </si>
  <si>
    <t>Percentage of sums</t>
  </si>
  <si>
    <t>Total Wood Rec</t>
  </si>
  <si>
    <t>Facility Wood Rec</t>
  </si>
  <si>
    <t>Tonnage per facility</t>
  </si>
  <si>
    <t>Total Tonnage</t>
  </si>
  <si>
    <t>Facility average</t>
  </si>
  <si>
    <t>Category Sums</t>
  </si>
  <si>
    <t>Facility Average</t>
  </si>
  <si>
    <t>Faciltiy</t>
  </si>
  <si>
    <t>Pallets Recovered</t>
  </si>
  <si>
    <t>Pallet Tonnage</t>
  </si>
  <si>
    <t>Total Number Pallets Received</t>
  </si>
  <si>
    <t>Total Number of Pallets Landfilled</t>
  </si>
  <si>
    <t>Total Number of Pallets Recovered</t>
  </si>
  <si>
    <t>Tonnage per Faciltiy</t>
  </si>
  <si>
    <t>MEAN</t>
  </si>
  <si>
    <t>ALL FACILITIES</t>
  </si>
  <si>
    <t>NO Response</t>
  </si>
  <si>
    <t>All Regions</t>
  </si>
  <si>
    <t>ALL REC WOOD</t>
  </si>
  <si>
    <t>Q3 POPULATION</t>
  </si>
  <si>
    <t>Q4 TOTAL TONNAGE</t>
  </si>
  <si>
    <t>Q5 RESPONDENTS ONLY TONNAGE</t>
  </si>
  <si>
    <t>Estimatd Tonnage Received</t>
  </si>
  <si>
    <t>Q4 Tonnage</t>
  </si>
  <si>
    <t>Q5 Tonnage</t>
  </si>
  <si>
    <t>Q3 Population</t>
  </si>
  <si>
    <t>Number of Facilities</t>
  </si>
  <si>
    <t>Facility Mean</t>
  </si>
  <si>
    <t>Sum of Tonnage</t>
  </si>
  <si>
    <t>Percent of Total</t>
  </si>
  <si>
    <t>Total Tonnage of MSW Waste Received</t>
  </si>
  <si>
    <t>Mean (all respondents)</t>
  </si>
  <si>
    <t>Sum of Responses</t>
  </si>
  <si>
    <t>Landfilled Wood</t>
  </si>
  <si>
    <t>Landfilled Normal</t>
  </si>
  <si>
    <t>Wood Recovered</t>
  </si>
  <si>
    <t>Normal Waste Recovered</t>
  </si>
  <si>
    <t>Sum of LF Wood</t>
  </si>
  <si>
    <t>Sum of Normal Waste LF</t>
  </si>
  <si>
    <t>Sum of Wood Recovered</t>
  </si>
  <si>
    <t>Some of Normal Waste Recovered</t>
  </si>
  <si>
    <t>% Wood Recovered</t>
  </si>
  <si>
    <t>% Wood Waste LF</t>
  </si>
  <si>
    <t>% Normal Waste LF</t>
  </si>
  <si>
    <t>% Normal Waste Rec</t>
  </si>
  <si>
    <t>Total Wood Waste LF (Tons)</t>
  </si>
  <si>
    <t>Total Normal Waste LF (Tons)</t>
  </si>
  <si>
    <t>Total Wood Recovered (Tons)</t>
  </si>
  <si>
    <t>Total Normal Waste Recovered (Tons)</t>
  </si>
  <si>
    <t>Mean Tipping Fee</t>
  </si>
  <si>
    <t>QTipping Fees</t>
  </si>
  <si>
    <t>Q5: ALL WASTE RECEIVED BY CATEGORY</t>
  </si>
  <si>
    <t>Q6 TIPPING FEES</t>
  </si>
  <si>
    <t>Q7 and Q8 Wood/Pallet Acceptance</t>
  </si>
  <si>
    <t>Q9 Wood Landfilled by cateogry</t>
  </si>
  <si>
    <t xml:space="preserve">Mean Tonnage </t>
  </si>
  <si>
    <t>Mean Tonnage</t>
  </si>
  <si>
    <t>All Region</t>
  </si>
  <si>
    <t>% Pallet</t>
  </si>
  <si>
    <t>% Crate</t>
  </si>
  <si>
    <t>% Const.</t>
  </si>
  <si>
    <t>% Treated</t>
  </si>
  <si>
    <t>% Yard Waste</t>
  </si>
  <si>
    <t>Const. Mean %</t>
  </si>
  <si>
    <t>Treated Mean %</t>
  </si>
  <si>
    <t>Pallet Mean %</t>
  </si>
  <si>
    <t>Creates Mean %</t>
  </si>
  <si>
    <t>Yard waste Mean %</t>
  </si>
  <si>
    <t>Other Mean %</t>
  </si>
  <si>
    <t>Residential Wood Chip</t>
  </si>
  <si>
    <t>Commercial Wood Chips</t>
  </si>
  <si>
    <t>Other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</si>
</sst>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0.00"/>
    <numFmt numFmtId="166" formatCode="0.000"/>
    <numFmt numFmtId="167" formatCode="0.0%"/>
  </numFmts>
  <fonts count="12" x14ac:knownFonts="1">
    <font>
      <sz val="11"/>
      <color theme="1"/>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sz val="11"/>
      <color theme="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b/>
      <u/>
      <sz val="11"/>
      <color theme="1"/>
      <name val="Calibri"/>
      <family val="2"/>
      <scheme val="minor"/>
    </font>
    <font>
      <sz val="10"/>
      <color rgb="FF000000"/>
      <name val="Times New Roman"/>
      <family val="1"/>
    </font>
    <font>
      <sz val="11"/>
      <color rgb="FF000000"/>
      <name val="Calibri"/>
      <family val="2"/>
      <scheme val="minor"/>
    </font>
  </fonts>
  <fills count="19">
    <fill>
      <patternFill patternType="none"/>
    </fill>
    <fill>
      <patternFill patternType="gray125"/>
    </fill>
    <fill>
      <patternFill patternType="solid">
        <fgColor theme="7"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9" tint="-0.249977111117893"/>
        <bgColor indexed="64"/>
      </patternFill>
    </fill>
    <fill>
      <patternFill patternType="solid">
        <fgColor theme="7"/>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tint="-0.249977111117893"/>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bottom/>
      <diagonal/>
    </border>
    <border>
      <left style="thin">
        <color auto="1"/>
      </left>
      <right style="thin">
        <color auto="1"/>
      </right>
      <top style="thin">
        <color auto="1"/>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style="thin">
        <color auto="1"/>
      </left>
      <right/>
      <top style="thin">
        <color auto="1"/>
      </top>
      <bottom style="medium">
        <color auto="1"/>
      </bottom>
      <diagonal/>
    </border>
    <border>
      <left style="thin">
        <color auto="1"/>
      </left>
      <right style="medium">
        <color auto="1"/>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s>
  <cellStyleXfs count="2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90">
    <xf numFmtId="0" fontId="0" fillId="0" borderId="0" xfId="0"/>
    <xf numFmtId="0" fontId="2" fillId="4" borderId="1" xfId="0" applyFont="1" applyFill="1" applyBorder="1"/>
    <xf numFmtId="0" fontId="0" fillId="0" borderId="1" xfId="0" applyBorder="1"/>
    <xf numFmtId="0" fontId="2" fillId="4" borderId="5" xfId="0" applyFont="1" applyFill="1" applyBorder="1"/>
    <xf numFmtId="0" fontId="2" fillId="4" borderId="6" xfId="0" applyFont="1"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9" borderId="0" xfId="0" applyFill="1"/>
    <xf numFmtId="0" fontId="0" fillId="10" borderId="0" xfId="0" applyFill="1"/>
    <xf numFmtId="0" fontId="0" fillId="11" borderId="0" xfId="0" applyFill="1"/>
    <xf numFmtId="0" fontId="0" fillId="4" borderId="0" xfId="0" applyFill="1"/>
    <xf numFmtId="0" fontId="0" fillId="12" borderId="0" xfId="0" applyFill="1"/>
    <xf numFmtId="0" fontId="0" fillId="7" borderId="0" xfId="0" applyFill="1"/>
    <xf numFmtId="0" fontId="0" fillId="3" borderId="0" xfId="0" applyFill="1"/>
    <xf numFmtId="0" fontId="2" fillId="10" borderId="0" xfId="0" applyFont="1" applyFill="1"/>
    <xf numFmtId="0" fontId="0" fillId="0" borderId="0" xfId="0" applyFill="1"/>
    <xf numFmtId="0" fontId="0" fillId="14" borderId="0" xfId="0" applyFill="1"/>
    <xf numFmtId="0" fontId="0" fillId="0" borderId="1" xfId="0" applyFill="1" applyBorder="1"/>
    <xf numFmtId="0" fontId="0" fillId="0" borderId="10" xfId="0" applyFill="1" applyBorder="1"/>
    <xf numFmtId="0" fontId="0" fillId="0" borderId="0" xfId="0" applyFill="1" applyBorder="1"/>
    <xf numFmtId="0" fontId="0" fillId="0" borderId="0" xfId="0" applyBorder="1"/>
    <xf numFmtId="3" fontId="0" fillId="0" borderId="1" xfId="0" applyNumberFormat="1" applyBorder="1"/>
    <xf numFmtId="0" fontId="2" fillId="0" borderId="0" xfId="0" applyFont="1" applyFill="1" applyBorder="1"/>
    <xf numFmtId="3" fontId="0" fillId="0" borderId="0" xfId="0" applyNumberFormat="1" applyFill="1" applyBorder="1"/>
    <xf numFmtId="0" fontId="0" fillId="10" borderId="0" xfId="0" applyFill="1" applyAlignment="1">
      <alignment horizontal="center"/>
    </xf>
    <xf numFmtId="0" fontId="0" fillId="0" borderId="12" xfId="0" applyFill="1" applyBorder="1"/>
    <xf numFmtId="0" fontId="0" fillId="2" borderId="0" xfId="0" applyFill="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10" fontId="0" fillId="0" borderId="0" xfId="0" applyNumberFormat="1"/>
    <xf numFmtId="0" fontId="0" fillId="0" borderId="13" xfId="0" applyBorder="1"/>
    <xf numFmtId="0" fontId="0" fillId="0" borderId="11" xfId="0" applyBorder="1"/>
    <xf numFmtId="10" fontId="0" fillId="0" borderId="18" xfId="0" applyNumberFormat="1" applyBorder="1"/>
    <xf numFmtId="10" fontId="0" fillId="0" borderId="19" xfId="0" applyNumberFormat="1" applyBorder="1"/>
    <xf numFmtId="2" fontId="0" fillId="0" borderId="0" xfId="0" applyNumberFormat="1"/>
    <xf numFmtId="164" fontId="0" fillId="0" borderId="0" xfId="0" applyNumberFormat="1" applyFill="1" applyBorder="1"/>
    <xf numFmtId="0" fontId="0" fillId="6" borderId="14" xfId="0" applyFill="1" applyBorder="1"/>
    <xf numFmtId="0" fontId="0" fillId="6" borderId="15" xfId="0" applyFill="1" applyBorder="1"/>
    <xf numFmtId="0" fontId="0" fillId="6" borderId="16" xfId="0" applyFill="1" applyBorder="1"/>
    <xf numFmtId="0" fontId="0" fillId="6" borderId="0" xfId="0" applyFill="1" applyBorder="1"/>
    <xf numFmtId="0" fontId="0" fillId="7" borderId="0" xfId="0" applyFill="1" applyBorder="1"/>
    <xf numFmtId="0" fontId="0" fillId="7" borderId="14" xfId="0" applyFill="1" applyBorder="1"/>
    <xf numFmtId="0" fontId="0" fillId="7" borderId="16" xfId="0" applyFill="1" applyBorder="1"/>
    <xf numFmtId="0" fontId="0" fillId="7" borderId="11" xfId="0" applyFill="1" applyBorder="1"/>
    <xf numFmtId="0" fontId="0" fillId="7" borderId="13" xfId="0" applyFill="1" applyBorder="1"/>
    <xf numFmtId="10" fontId="0" fillId="0" borderId="13" xfId="0" applyNumberFormat="1" applyBorder="1"/>
    <xf numFmtId="0" fontId="0" fillId="7" borderId="15" xfId="0" applyFill="1" applyBorder="1"/>
    <xf numFmtId="0" fontId="0" fillId="0" borderId="4" xfId="0" applyBorder="1"/>
    <xf numFmtId="0" fontId="0" fillId="6" borderId="11" xfId="0" applyFill="1" applyBorder="1"/>
    <xf numFmtId="0" fontId="0" fillId="6" borderId="11" xfId="0" applyFill="1" applyBorder="1" applyAlignment="1">
      <alignment horizontal="center"/>
    </xf>
    <xf numFmtId="1" fontId="0" fillId="0" borderId="0" xfId="0" applyNumberFormat="1"/>
    <xf numFmtId="3" fontId="0" fillId="0" borderId="0" xfId="0" applyNumberFormat="1"/>
    <xf numFmtId="0" fontId="0" fillId="6" borderId="13" xfId="0" applyFill="1" applyBorder="1"/>
    <xf numFmtId="0" fontId="1" fillId="4" borderId="0" xfId="0" applyFont="1" applyFill="1" applyAlignment="1">
      <alignment horizontal="center"/>
    </xf>
    <xf numFmtId="0" fontId="0" fillId="0" borderId="2" xfId="0" applyBorder="1"/>
    <xf numFmtId="164" fontId="0" fillId="0" borderId="17" xfId="0" applyNumberFormat="1" applyBorder="1"/>
    <xf numFmtId="164" fontId="0" fillId="0" borderId="18" xfId="0" applyNumberFormat="1" applyBorder="1"/>
    <xf numFmtId="1" fontId="0" fillId="0" borderId="18" xfId="0" applyNumberFormat="1" applyBorder="1"/>
    <xf numFmtId="3" fontId="0" fillId="0" borderId="6" xfId="0" applyNumberFormat="1" applyBorder="1"/>
    <xf numFmtId="3" fontId="0" fillId="0" borderId="8" xfId="0" applyNumberFormat="1" applyBorder="1"/>
    <xf numFmtId="3" fontId="0" fillId="0" borderId="9" xfId="0" applyNumberFormat="1" applyFill="1" applyBorder="1"/>
    <xf numFmtId="0" fontId="1" fillId="0" borderId="2" xfId="0" applyFont="1" applyBorder="1"/>
    <xf numFmtId="0" fontId="1" fillId="0" borderId="3" xfId="0" applyFont="1" applyBorder="1"/>
    <xf numFmtId="0" fontId="1" fillId="0" borderId="4" xfId="0" applyFont="1" applyBorder="1"/>
    <xf numFmtId="0" fontId="5" fillId="0" borderId="0" xfId="0" applyFont="1"/>
    <xf numFmtId="2" fontId="0" fillId="0" borderId="11" xfId="0" applyNumberFormat="1" applyBorder="1"/>
    <xf numFmtId="2" fontId="0" fillId="0" borderId="0" xfId="0" applyNumberFormat="1" applyBorder="1"/>
    <xf numFmtId="2" fontId="0" fillId="0" borderId="13" xfId="0" applyNumberFormat="1" applyBorder="1"/>
    <xf numFmtId="0" fontId="0" fillId="0" borderId="0" xfId="0" applyFill="1" applyAlignment="1">
      <alignment horizontal="center"/>
    </xf>
    <xf numFmtId="2" fontId="0" fillId="0" borderId="0" xfId="0" applyNumberFormat="1" applyFill="1"/>
    <xf numFmtId="0" fontId="2" fillId="0" borderId="0" xfId="0" applyFont="1" applyFill="1"/>
    <xf numFmtId="2" fontId="0" fillId="0" borderId="14" xfId="0" applyNumberFormat="1" applyBorder="1"/>
    <xf numFmtId="2" fontId="0" fillId="0" borderId="16" xfId="0" applyNumberFormat="1" applyBorder="1"/>
    <xf numFmtId="0" fontId="0" fillId="5" borderId="0" xfId="0" applyFill="1" applyAlignment="1">
      <alignment horizontal="center"/>
    </xf>
    <xf numFmtId="0" fontId="0" fillId="0" borderId="0" xfId="0" applyAlignment="1">
      <alignment horizontal="center"/>
    </xf>
    <xf numFmtId="0" fontId="0" fillId="6" borderId="0" xfId="0" applyFill="1" applyAlignment="1">
      <alignment horizontal="center"/>
    </xf>
    <xf numFmtId="0" fontId="0" fillId="0" borderId="0" xfId="0" applyFill="1" applyAlignment="1">
      <alignment horizontal="center"/>
    </xf>
    <xf numFmtId="2" fontId="0" fillId="0" borderId="1" xfId="0" applyNumberFormat="1" applyBorder="1"/>
    <xf numFmtId="0" fontId="0" fillId="0" borderId="3" xfId="0" applyBorder="1"/>
    <xf numFmtId="2" fontId="0" fillId="0" borderId="5" xfId="0" applyNumberFormat="1" applyBorder="1"/>
    <xf numFmtId="2" fontId="0" fillId="0" borderId="6" xfId="0" applyNumberFormat="1" applyBorder="1"/>
    <xf numFmtId="0" fontId="1" fillId="0" borderId="0" xfId="0" applyFont="1"/>
    <xf numFmtId="1" fontId="8" fillId="0" borderId="0" xfId="0" applyNumberFormat="1" applyFont="1"/>
    <xf numFmtId="3" fontId="8" fillId="0" borderId="0" xfId="0" applyNumberFormat="1" applyFont="1"/>
    <xf numFmtId="3" fontId="1" fillId="0" borderId="0" xfId="0" applyNumberFormat="1" applyFont="1"/>
    <xf numFmtId="0" fontId="8" fillId="0" borderId="0" xfId="0" applyFont="1"/>
    <xf numFmtId="3" fontId="9" fillId="0" borderId="0" xfId="0" applyNumberFormat="1" applyFont="1"/>
    <xf numFmtId="3" fontId="5" fillId="15" borderId="0" xfId="0" applyNumberFormat="1" applyFont="1" applyFill="1"/>
    <xf numFmtId="3" fontId="9" fillId="14" borderId="0" xfId="0" applyNumberFormat="1" applyFont="1" applyFill="1"/>
    <xf numFmtId="0" fontId="0" fillId="10" borderId="11" xfId="0" applyFill="1" applyBorder="1"/>
    <xf numFmtId="0" fontId="0" fillId="10" borderId="0" xfId="0" applyFill="1" applyBorder="1"/>
    <xf numFmtId="0" fontId="0" fillId="14" borderId="0" xfId="0" applyFill="1" applyBorder="1"/>
    <xf numFmtId="0" fontId="0" fillId="0" borderId="23" xfId="0" applyBorder="1"/>
    <xf numFmtId="0" fontId="0" fillId="6" borderId="0" xfId="0" applyFill="1" applyBorder="1" applyAlignment="1"/>
    <xf numFmtId="0" fontId="0" fillId="0" borderId="11" xfId="0" applyFill="1" applyBorder="1"/>
    <xf numFmtId="0" fontId="0" fillId="11" borderId="11" xfId="0" applyFill="1" applyBorder="1"/>
    <xf numFmtId="0" fontId="0" fillId="11" borderId="0" xfId="0" applyFill="1" applyBorder="1"/>
    <xf numFmtId="0" fontId="0" fillId="3" borderId="11" xfId="0" applyFill="1" applyBorder="1"/>
    <xf numFmtId="0" fontId="0" fillId="3" borderId="0" xfId="0" applyFill="1" applyBorder="1"/>
    <xf numFmtId="0" fontId="0" fillId="3" borderId="13" xfId="0" applyFill="1" applyBorder="1"/>
    <xf numFmtId="1" fontId="0" fillId="0" borderId="0" xfId="0" applyNumberFormat="1" applyBorder="1"/>
    <xf numFmtId="0" fontId="0" fillId="0" borderId="13" xfId="0" applyFill="1" applyBorder="1"/>
    <xf numFmtId="0" fontId="0" fillId="0" borderId="13" xfId="0" applyBorder="1" applyAlignment="1">
      <alignment horizontal="center"/>
    </xf>
    <xf numFmtId="0" fontId="0" fillId="7" borderId="20" xfId="0" applyFill="1" applyBorder="1"/>
    <xf numFmtId="0" fontId="0" fillId="0" borderId="23" xfId="0" applyFill="1" applyBorder="1"/>
    <xf numFmtId="0" fontId="0" fillId="3" borderId="23" xfId="0" applyFill="1" applyBorder="1"/>
    <xf numFmtId="0" fontId="0" fillId="0" borderId="24" xfId="0" applyFill="1" applyBorder="1"/>
    <xf numFmtId="0" fontId="0" fillId="0" borderId="25" xfId="0" applyFill="1" applyBorder="1"/>
    <xf numFmtId="0" fontId="0" fillId="0" borderId="22" xfId="0" applyFill="1" applyBorder="1"/>
    <xf numFmtId="166" fontId="0" fillId="0" borderId="11" xfId="0" applyNumberFormat="1" applyBorder="1"/>
    <xf numFmtId="166" fontId="0" fillId="0" borderId="0" xfId="0" applyNumberFormat="1" applyBorder="1"/>
    <xf numFmtId="3" fontId="0" fillId="0" borderId="0" xfId="0" applyNumberFormat="1" applyBorder="1"/>
    <xf numFmtId="0" fontId="2" fillId="0" borderId="11" xfId="0" applyFont="1" applyFill="1" applyBorder="1"/>
    <xf numFmtId="0" fontId="0" fillId="7" borderId="23" xfId="0" applyFill="1" applyBorder="1"/>
    <xf numFmtId="0" fontId="0" fillId="7" borderId="21" xfId="0" applyFill="1" applyBorder="1"/>
    <xf numFmtId="0" fontId="0" fillId="10" borderId="14" xfId="0" applyFill="1" applyBorder="1" applyAlignment="1">
      <alignment horizontal="center"/>
    </xf>
    <xf numFmtId="0" fontId="0" fillId="10" borderId="16" xfId="0" applyFill="1" applyBorder="1" applyAlignment="1">
      <alignment horizontal="center"/>
    </xf>
    <xf numFmtId="10" fontId="0" fillId="0" borderId="11" xfId="0" applyNumberFormat="1" applyBorder="1"/>
    <xf numFmtId="10" fontId="0" fillId="0" borderId="17" xfId="0" applyNumberFormat="1" applyBorder="1"/>
    <xf numFmtId="0" fontId="0" fillId="9" borderId="14" xfId="0" applyFill="1" applyBorder="1"/>
    <xf numFmtId="0" fontId="0" fillId="4" borderId="16" xfId="0" applyFill="1" applyBorder="1"/>
    <xf numFmtId="0" fontId="0" fillId="0" borderId="26" xfId="0" applyFill="1" applyBorder="1"/>
    <xf numFmtId="0" fontId="0" fillId="0" borderId="27" xfId="0" applyFill="1" applyBorder="1"/>
    <xf numFmtId="0" fontId="0" fillId="2" borderId="14" xfId="0" applyFill="1" applyBorder="1" applyAlignment="1">
      <alignment horizontal="center"/>
    </xf>
    <xf numFmtId="10" fontId="0" fillId="0" borderId="21" xfId="0" applyNumberFormat="1" applyBorder="1"/>
    <xf numFmtId="0" fontId="0" fillId="3" borderId="15" xfId="0" applyFill="1" applyBorder="1"/>
    <xf numFmtId="0" fontId="0" fillId="3" borderId="16" xfId="0" applyFill="1" applyBorder="1"/>
    <xf numFmtId="10" fontId="0" fillId="0" borderId="0" xfId="0" applyNumberFormat="1" applyBorder="1"/>
    <xf numFmtId="10" fontId="10" fillId="0" borderId="28" xfId="0" applyNumberFormat="1" applyFont="1" applyBorder="1" applyAlignment="1">
      <alignment horizontal="center" vertical="center"/>
    </xf>
    <xf numFmtId="10" fontId="10" fillId="0" borderId="29" xfId="0" applyNumberFormat="1" applyFont="1" applyBorder="1" applyAlignment="1">
      <alignment horizontal="center" vertical="center"/>
    </xf>
    <xf numFmtId="0" fontId="0" fillId="0" borderId="30" xfId="0" applyBorder="1"/>
    <xf numFmtId="0" fontId="0" fillId="0" borderId="12" xfId="0" applyBorder="1"/>
    <xf numFmtId="0" fontId="0" fillId="0" borderId="27" xfId="0" applyBorder="1"/>
    <xf numFmtId="0" fontId="0" fillId="0" borderId="24" xfId="0" applyBorder="1"/>
    <xf numFmtId="0" fontId="0" fillId="0" borderId="31" xfId="0" applyBorder="1"/>
    <xf numFmtId="0" fontId="1" fillId="0" borderId="0" xfId="0" applyFont="1" applyBorder="1"/>
    <xf numFmtId="0" fontId="1" fillId="0" borderId="13" xfId="0" applyFont="1" applyBorder="1"/>
    <xf numFmtId="0" fontId="0" fillId="0" borderId="32" xfId="0" applyBorder="1"/>
    <xf numFmtId="10" fontId="0" fillId="0" borderId="0" xfId="0" applyNumberFormat="1" applyFill="1" applyBorder="1"/>
    <xf numFmtId="3" fontId="0" fillId="0" borderId="32" xfId="0" applyNumberFormat="1" applyBorder="1"/>
    <xf numFmtId="0" fontId="0" fillId="0" borderId="33" xfId="0" applyFill="1" applyBorder="1"/>
    <xf numFmtId="0" fontId="0" fillId="0" borderId="34" xfId="0" applyFill="1" applyBorder="1"/>
    <xf numFmtId="0" fontId="0" fillId="0" borderId="32" xfId="0" applyFill="1" applyBorder="1"/>
    <xf numFmtId="1" fontId="0" fillId="0" borderId="32" xfId="0" applyNumberFormat="1" applyBorder="1"/>
    <xf numFmtId="0" fontId="0" fillId="0" borderId="35" xfId="0" applyFill="1" applyBorder="1"/>
    <xf numFmtId="2" fontId="0" fillId="0" borderId="32" xfId="0" applyNumberFormat="1" applyBorder="1"/>
    <xf numFmtId="0" fontId="1" fillId="0" borderId="32" xfId="0" applyFont="1" applyFill="1" applyBorder="1" applyAlignment="1">
      <alignment horizontal="right"/>
    </xf>
    <xf numFmtId="10" fontId="0" fillId="0" borderId="32" xfId="0" applyNumberFormat="1" applyBorder="1"/>
    <xf numFmtId="10" fontId="10" fillId="0" borderId="0" xfId="0" applyNumberFormat="1" applyFont="1" applyFill="1" applyBorder="1" applyAlignment="1">
      <alignment horizontal="center" vertical="center"/>
    </xf>
    <xf numFmtId="0" fontId="0" fillId="5"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1" fillId="0" borderId="24" xfId="0" applyFont="1" applyFill="1" applyBorder="1"/>
    <xf numFmtId="0" fontId="1" fillId="0" borderId="25" xfId="0" applyFont="1" applyFill="1" applyBorder="1"/>
    <xf numFmtId="3" fontId="10" fillId="0" borderId="0" xfId="0" applyNumberFormat="1" applyFont="1" applyBorder="1" applyAlignment="1">
      <alignment horizontal="center" vertical="center"/>
    </xf>
    <xf numFmtId="0" fontId="0" fillId="16" borderId="0" xfId="0" applyFill="1" applyAlignment="1">
      <alignment horizontal="center"/>
    </xf>
    <xf numFmtId="0" fontId="1" fillId="5" borderId="0" xfId="0" applyFont="1" applyFill="1" applyAlignment="1">
      <alignment horizontal="center"/>
    </xf>
    <xf numFmtId="0" fontId="0" fillId="14" borderId="6" xfId="0" applyFill="1" applyBorder="1"/>
    <xf numFmtId="3" fontId="0" fillId="0" borderId="6" xfId="0" applyNumberFormat="1" applyFont="1" applyBorder="1" applyAlignment="1">
      <alignment horizontal="right"/>
    </xf>
    <xf numFmtId="3" fontId="11" fillId="0" borderId="9" xfId="0" applyNumberFormat="1" applyFont="1" applyBorder="1" applyAlignment="1">
      <alignment horizontal="right" vertical="center"/>
    </xf>
    <xf numFmtId="0" fontId="10" fillId="0" borderId="0" xfId="0" applyFont="1" applyBorder="1" applyAlignment="1">
      <alignment horizontal="justify" vertical="center"/>
    </xf>
    <xf numFmtId="0" fontId="0" fillId="18" borderId="1" xfId="0" applyFill="1" applyBorder="1"/>
    <xf numFmtId="3" fontId="0" fillId="18" borderId="1" xfId="0" applyNumberFormat="1" applyFill="1" applyBorder="1"/>
    <xf numFmtId="167" fontId="11" fillId="0" borderId="1" xfId="0" applyNumberFormat="1" applyFont="1" applyBorder="1" applyAlignment="1">
      <alignment horizontal="right" vertical="center"/>
    </xf>
    <xf numFmtId="0" fontId="1" fillId="7" borderId="1" xfId="0" applyFont="1" applyFill="1" applyBorder="1" applyAlignment="1">
      <alignment horizontal="center"/>
    </xf>
    <xf numFmtId="0" fontId="1" fillId="7" borderId="1" xfId="0" applyFont="1" applyFill="1" applyBorder="1" applyAlignment="1">
      <alignment horizontal="center" vertical="center" wrapText="1"/>
    </xf>
    <xf numFmtId="9" fontId="11" fillId="0" borderId="1" xfId="0" applyNumberFormat="1" applyFont="1" applyBorder="1" applyAlignment="1">
      <alignment horizontal="right" vertical="center"/>
    </xf>
    <xf numFmtId="3" fontId="11" fillId="0" borderId="1" xfId="0" applyNumberFormat="1" applyFont="1" applyFill="1" applyBorder="1" applyAlignment="1">
      <alignment horizontal="right" vertical="center"/>
    </xf>
    <xf numFmtId="0" fontId="0" fillId="10" borderId="1" xfId="0" applyFill="1" applyBorder="1"/>
    <xf numFmtId="0" fontId="0" fillId="10" borderId="5" xfId="0" applyFill="1" applyBorder="1"/>
    <xf numFmtId="0" fontId="0" fillId="10" borderId="6" xfId="0" applyFill="1" applyBorder="1"/>
    <xf numFmtId="0" fontId="1" fillId="0" borderId="8" xfId="0" applyFont="1" applyBorder="1"/>
    <xf numFmtId="0" fontId="1" fillId="0" borderId="9" xfId="0" applyFont="1" applyBorder="1"/>
    <xf numFmtId="3" fontId="0" fillId="18" borderId="0" xfId="0" applyNumberFormat="1" applyFill="1" applyBorder="1"/>
    <xf numFmtId="165" fontId="0" fillId="0" borderId="0" xfId="0" applyNumberFormat="1" applyBorder="1"/>
    <xf numFmtId="0" fontId="0" fillId="18" borderId="15" xfId="0" applyFill="1" applyBorder="1" applyAlignment="1">
      <alignment horizontal="center"/>
    </xf>
    <xf numFmtId="0" fontId="0" fillId="18" borderId="0" xfId="0" applyFill="1" applyBorder="1"/>
    <xf numFmtId="0" fontId="1" fillId="18" borderId="0" xfId="0" applyFont="1" applyFill="1" applyBorder="1"/>
    <xf numFmtId="0" fontId="0" fillId="18" borderId="0" xfId="0" applyFill="1"/>
    <xf numFmtId="0" fontId="1" fillId="18" borderId="0" xfId="0" applyFont="1" applyFill="1" applyBorder="1" applyAlignment="1">
      <alignment horizontal="center" vertical="center" wrapText="1"/>
    </xf>
    <xf numFmtId="0" fontId="1" fillId="18" borderId="0" xfId="0" applyFont="1" applyFill="1" applyBorder="1" applyAlignment="1">
      <alignment horizontal="center"/>
    </xf>
    <xf numFmtId="9" fontId="11" fillId="18" borderId="0" xfId="0" applyNumberFormat="1" applyFont="1" applyFill="1" applyBorder="1" applyAlignment="1">
      <alignment horizontal="right" vertical="center"/>
    </xf>
    <xf numFmtId="167" fontId="11" fillId="18" borderId="0" xfId="0" applyNumberFormat="1" applyFont="1" applyFill="1" applyBorder="1" applyAlignment="1">
      <alignment horizontal="right" vertical="center"/>
    </xf>
    <xf numFmtId="3" fontId="11" fillId="18" borderId="0" xfId="0" applyNumberFormat="1" applyFont="1" applyFill="1" applyBorder="1" applyAlignment="1">
      <alignment horizontal="right" vertical="center"/>
    </xf>
    <xf numFmtId="0" fontId="10" fillId="18" borderId="0" xfId="0" applyFont="1" applyFill="1" applyBorder="1" applyAlignment="1">
      <alignment horizontal="justify" vertical="center"/>
    </xf>
    <xf numFmtId="0" fontId="1" fillId="7" borderId="33" xfId="0" applyFont="1" applyFill="1" applyBorder="1" applyAlignment="1">
      <alignment horizontal="center" vertical="center" wrapText="1"/>
    </xf>
    <xf numFmtId="3" fontId="0" fillId="18" borderId="33" xfId="0" applyNumberFormat="1" applyFill="1" applyBorder="1"/>
    <xf numFmtId="3" fontId="0" fillId="0" borderId="33" xfId="0" applyNumberFormat="1" applyBorder="1"/>
    <xf numFmtId="0" fontId="0" fillId="7" borderId="1" xfId="0" applyFill="1" applyBorder="1" applyAlignment="1">
      <alignment horizontal="center"/>
    </xf>
    <xf numFmtId="165" fontId="0" fillId="0" borderId="1" xfId="0" applyNumberFormat="1" applyBorder="1"/>
    <xf numFmtId="4" fontId="0" fillId="0" borderId="1" xfId="0" applyNumberFormat="1" applyBorder="1"/>
    <xf numFmtId="0" fontId="1" fillId="18" borderId="2" xfId="0" applyFont="1" applyFill="1" applyBorder="1" applyAlignment="1">
      <alignment horizontal="center"/>
    </xf>
    <xf numFmtId="0" fontId="1" fillId="18" borderId="5" xfId="0" applyFont="1" applyFill="1" applyBorder="1" applyAlignment="1">
      <alignment horizontal="center"/>
    </xf>
    <xf numFmtId="0" fontId="0" fillId="7" borderId="6" xfId="0" applyFill="1" applyBorder="1" applyAlignment="1">
      <alignment horizontal="center"/>
    </xf>
    <xf numFmtId="3" fontId="1" fillId="18" borderId="5" xfId="0" applyNumberFormat="1" applyFont="1" applyFill="1" applyBorder="1" applyAlignment="1">
      <alignment horizontal="center"/>
    </xf>
    <xf numFmtId="165" fontId="0" fillId="0" borderId="6" xfId="0" applyNumberFormat="1" applyBorder="1"/>
    <xf numFmtId="3" fontId="0" fillId="18" borderId="5" xfId="0" applyNumberFormat="1" applyFill="1" applyBorder="1"/>
    <xf numFmtId="0" fontId="1" fillId="18" borderId="5" xfId="0" applyFont="1" applyFill="1" applyBorder="1" applyAlignment="1">
      <alignment horizontal="center" vertical="center" wrapText="1"/>
    </xf>
    <xf numFmtId="4" fontId="0" fillId="0" borderId="6" xfId="0" applyNumberFormat="1" applyBorder="1"/>
    <xf numFmtId="3" fontId="0" fillId="18" borderId="7" xfId="0" applyNumberFormat="1" applyFill="1" applyBorder="1"/>
    <xf numFmtId="4" fontId="0" fillId="0" borderId="8" xfId="0" applyNumberFormat="1" applyBorder="1"/>
    <xf numFmtId="4" fontId="0" fillId="0" borderId="9" xfId="0" applyNumberFormat="1" applyBorder="1"/>
    <xf numFmtId="0" fontId="0" fillId="4" borderId="14" xfId="0" applyFill="1" applyBorder="1" applyAlignment="1"/>
    <xf numFmtId="0" fontId="0" fillId="4" borderId="15" xfId="0" applyFill="1" applyBorder="1" applyAlignment="1"/>
    <xf numFmtId="0" fontId="0" fillId="4" borderId="16" xfId="0" applyFill="1" applyBorder="1" applyAlignment="1"/>
    <xf numFmtId="0" fontId="1" fillId="4" borderId="0" xfId="0" applyFont="1" applyFill="1" applyAlignment="1"/>
    <xf numFmtId="0" fontId="0" fillId="0" borderId="36" xfId="0" applyBorder="1"/>
    <xf numFmtId="0" fontId="0" fillId="0" borderId="37" xfId="0" applyBorder="1"/>
    <xf numFmtId="10" fontId="10" fillId="0" borderId="0" xfId="0" applyNumberFormat="1" applyFont="1" applyBorder="1" applyAlignment="1">
      <alignment horizontal="center" vertical="center"/>
    </xf>
    <xf numFmtId="2" fontId="0" fillId="0" borderId="1" xfId="0" applyNumberFormat="1" applyFill="1" applyBorder="1"/>
    <xf numFmtId="10" fontId="0" fillId="0" borderId="1" xfId="0" applyNumberFormat="1" applyFill="1" applyBorder="1"/>
    <xf numFmtId="0" fontId="0" fillId="0" borderId="14" xfId="0" applyFill="1" applyBorder="1"/>
    <xf numFmtId="0" fontId="0" fillId="0" borderId="5" xfId="0" applyFill="1" applyBorder="1"/>
    <xf numFmtId="2" fontId="0" fillId="0" borderId="5" xfId="0" applyNumberFormat="1" applyFill="1" applyBorder="1"/>
    <xf numFmtId="10" fontId="0" fillId="0" borderId="5" xfId="0" applyNumberFormat="1" applyFill="1" applyBorder="1"/>
    <xf numFmtId="0" fontId="0" fillId="0" borderId="7" xfId="0" applyFill="1" applyBorder="1"/>
    <xf numFmtId="0" fontId="0" fillId="0" borderId="38" xfId="0" applyBorder="1"/>
    <xf numFmtId="2" fontId="0" fillId="0" borderId="6" xfId="0" applyNumberFormat="1" applyFill="1" applyBorder="1"/>
    <xf numFmtId="0" fontId="0" fillId="0" borderId="6" xfId="0" applyFill="1" applyBorder="1"/>
    <xf numFmtId="0" fontId="0" fillId="0" borderId="8" xfId="0" applyFill="1" applyBorder="1"/>
    <xf numFmtId="0" fontId="0" fillId="0" borderId="9" xfId="0" applyFill="1" applyBorder="1"/>
    <xf numFmtId="10" fontId="10" fillId="3" borderId="0" xfId="0" applyNumberFormat="1" applyFont="1" applyFill="1" applyBorder="1" applyAlignment="1">
      <alignment horizontal="center" vertical="center"/>
    </xf>
    <xf numFmtId="10" fontId="0" fillId="3" borderId="0" xfId="0" applyNumberFormat="1" applyFill="1" applyBorder="1"/>
    <xf numFmtId="10" fontId="11" fillId="0" borderId="1" xfId="0" applyNumberFormat="1" applyFont="1" applyBorder="1" applyAlignment="1">
      <alignment horizontal="right" vertical="center"/>
    </xf>
    <xf numFmtId="10" fontId="0" fillId="0" borderId="1" xfId="0" applyNumberFormat="1" applyBorder="1" applyAlignment="1">
      <alignment horizontal="right"/>
    </xf>
    <xf numFmtId="0" fontId="0" fillId="0" borderId="2" xfId="0" applyFill="1" applyBorder="1"/>
    <xf numFmtId="10" fontId="11" fillId="0" borderId="3" xfId="0" applyNumberFormat="1" applyFont="1" applyBorder="1" applyAlignment="1">
      <alignment horizontal="right" vertical="center"/>
    </xf>
    <xf numFmtId="10" fontId="0" fillId="0" borderId="3" xfId="0" applyNumberFormat="1" applyBorder="1" applyAlignment="1">
      <alignment horizontal="right"/>
    </xf>
    <xf numFmtId="3" fontId="0" fillId="0" borderId="3" xfId="0" applyNumberFormat="1" applyBorder="1"/>
    <xf numFmtId="10" fontId="0" fillId="0" borderId="3" xfId="0" applyNumberFormat="1" applyBorder="1"/>
    <xf numFmtId="10" fontId="0" fillId="0" borderId="3" xfId="0" applyNumberFormat="1" applyFill="1" applyBorder="1"/>
    <xf numFmtId="10" fontId="0" fillId="0" borderId="4" xfId="0" applyNumberFormat="1" applyFill="1" applyBorder="1"/>
    <xf numFmtId="10" fontId="0" fillId="0" borderId="1" xfId="0" applyNumberFormat="1" applyBorder="1"/>
    <xf numFmtId="10" fontId="0" fillId="0" borderId="6" xfId="0" applyNumberFormat="1" applyFill="1" applyBorder="1"/>
    <xf numFmtId="10" fontId="0" fillId="0" borderId="8" xfId="0" applyNumberFormat="1" applyBorder="1"/>
    <xf numFmtId="10" fontId="0" fillId="0" borderId="8" xfId="0" applyNumberFormat="1" applyFont="1" applyBorder="1" applyAlignment="1">
      <alignment horizontal="right"/>
    </xf>
    <xf numFmtId="10" fontId="0" fillId="0" borderId="8" xfId="0" applyNumberFormat="1" applyBorder="1" applyAlignment="1">
      <alignment horizontal="right"/>
    </xf>
    <xf numFmtId="10" fontId="0" fillId="0" borderId="8" xfId="0" applyNumberFormat="1" applyFill="1" applyBorder="1"/>
    <xf numFmtId="10" fontId="0" fillId="0" borderId="9" xfId="0" applyNumberFormat="1" applyFill="1" applyBorder="1"/>
    <xf numFmtId="0" fontId="1" fillId="3" borderId="15" xfId="0" applyFont="1" applyFill="1" applyBorder="1" applyAlignment="1">
      <alignment horizontal="center" wrapText="1"/>
    </xf>
    <xf numFmtId="2" fontId="0" fillId="0" borderId="36" xfId="0" applyNumberFormat="1" applyFill="1" applyBorder="1"/>
    <xf numFmtId="10" fontId="0" fillId="0" borderId="13" xfId="0" applyNumberFormat="1" applyFill="1" applyBorder="1"/>
    <xf numFmtId="9" fontId="0" fillId="0" borderId="1" xfId="0" applyNumberFormat="1" applyFill="1" applyBorder="1"/>
    <xf numFmtId="0" fontId="0" fillId="14" borderId="2" xfId="0" applyFill="1" applyBorder="1"/>
    <xf numFmtId="0" fontId="0" fillId="14" borderId="4" xfId="0" applyFill="1" applyBorder="1" applyAlignment="1">
      <alignment wrapText="1"/>
    </xf>
    <xf numFmtId="165" fontId="0" fillId="0" borderId="11" xfId="0" applyNumberFormat="1" applyBorder="1"/>
    <xf numFmtId="0" fontId="1" fillId="17" borderId="0" xfId="0" applyFont="1" applyFill="1" applyAlignment="1">
      <alignment horizontal="center" vertical="top"/>
    </xf>
    <xf numFmtId="0" fontId="1" fillId="4" borderId="0" xfId="0" applyFont="1" applyFill="1" applyAlignment="1">
      <alignment horizontal="center"/>
    </xf>
    <xf numFmtId="0" fontId="0" fillId="0" borderId="15" xfId="0" applyBorder="1" applyAlignment="1">
      <alignment horizontal="center"/>
    </xf>
    <xf numFmtId="0" fontId="0" fillId="11" borderId="14" xfId="0" applyFill="1" applyBorder="1" applyAlignment="1">
      <alignment horizontal="center"/>
    </xf>
    <xf numFmtId="0" fontId="0" fillId="11" borderId="15" xfId="0" applyFill="1" applyBorder="1" applyAlignment="1">
      <alignment horizontal="center"/>
    </xf>
    <xf numFmtId="0" fontId="0" fillId="11" borderId="16" xfId="0" applyFill="1" applyBorder="1" applyAlignment="1">
      <alignment horizontal="center"/>
    </xf>
    <xf numFmtId="0" fontId="0" fillId="7" borderId="14" xfId="0" applyFill="1" applyBorder="1" applyAlignment="1">
      <alignment horizontal="center"/>
    </xf>
    <xf numFmtId="0" fontId="0" fillId="7" borderId="16"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13" borderId="14" xfId="0" applyFill="1" applyBorder="1" applyAlignment="1">
      <alignment horizontal="center"/>
    </xf>
    <xf numFmtId="0" fontId="0" fillId="13" borderId="15" xfId="0" applyFill="1" applyBorder="1" applyAlignment="1">
      <alignment horizontal="center"/>
    </xf>
    <xf numFmtId="0" fontId="0" fillId="13" borderId="16"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1" fillId="7" borderId="0" xfId="0" applyFont="1" applyFill="1" applyBorder="1" applyAlignment="1">
      <alignment horizontal="center"/>
    </xf>
    <xf numFmtId="0" fontId="1" fillId="6" borderId="14" xfId="0"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0" fontId="0" fillId="0" borderId="0" xfId="0" applyAlignment="1">
      <alignment horizontal="center"/>
    </xf>
    <xf numFmtId="0" fontId="0" fillId="13" borderId="0" xfId="0" applyFill="1" applyAlignment="1">
      <alignment horizontal="center"/>
    </xf>
    <xf numFmtId="0" fontId="0" fillId="0" borderId="0" xfId="0" applyFill="1" applyAlignment="1">
      <alignment horizontal="center"/>
    </xf>
    <xf numFmtId="0" fontId="0" fillId="5" borderId="0" xfId="0"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6" borderId="0" xfId="0" applyFill="1" applyAlignment="1">
      <alignment horizontal="center"/>
    </xf>
    <xf numFmtId="0" fontId="0" fillId="3" borderId="0" xfId="0" applyFill="1" applyAlignment="1">
      <alignment horizontal="center" wrapText="1"/>
    </xf>
    <xf numFmtId="0" fontId="0" fillId="11" borderId="0" xfId="0" applyFill="1" applyAlignment="1">
      <alignment horizontal="center"/>
    </xf>
    <xf numFmtId="0" fontId="0" fillId="0" borderId="0" xfId="0" applyFill="1" applyAlignment="1">
      <alignment horizont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a:t>
            </a:r>
            <a:r>
              <a:rPr lang="en-US" baseline="0"/>
              <a:t> MSW</a:t>
            </a:r>
            <a:r>
              <a:rPr lang="en-US"/>
              <a:t> Faciliites Operating</a:t>
            </a:r>
            <a:r>
              <a:rPr lang="en-US" baseline="0"/>
              <a:t> Recovery Areas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data'!$AJ$189</c:f>
              <c:strCache>
                <c:ptCount val="1"/>
                <c:pt idx="0">
                  <c:v>Percentage Recovering</c:v>
                </c:pt>
              </c:strCache>
            </c:strRef>
          </c:tx>
          <c:spPr>
            <a:solidFill>
              <a:schemeClr val="accent1"/>
            </a:solidFill>
            <a:ln>
              <a:noFill/>
            </a:ln>
            <a:effectLst/>
          </c:spPr>
          <c:invertIfNegative val="0"/>
          <c:val>
            <c:numRef>
              <c:f>'All data'!$AJ$190:$AJ$192</c:f>
              <c:numCache>
                <c:formatCode>0.00%</c:formatCode>
                <c:ptCount val="3"/>
                <c:pt idx="0">
                  <c:v>0.379</c:v>
                </c:pt>
                <c:pt idx="1">
                  <c:v>0.33400000000000002</c:v>
                </c:pt>
                <c:pt idx="2">
                  <c:v>0.62420382165605093</c:v>
                </c:pt>
              </c:numCache>
            </c:numRef>
          </c:val>
          <c:extLst>
            <c:ext xmlns:c15="http://schemas.microsoft.com/office/drawing/2012/chart" uri="{02D57815-91ED-43cb-92C2-25804820EDAC}">
              <c15:filteredCategoryTitle>
                <c15:cat>
                  <c:multiLvlStrRef>
                    <c:extLst>
                      <c:ext uri="{02D57815-91ED-43cb-92C2-25804820EDAC}">
                        <c15:formulaRef>
                          <c15:sqref>'All data'!#REF!</c15:sqref>
                        </c15:formulaRef>
                      </c:ext>
                    </c:extLst>
                  </c:multiLvlStrRef>
                </c15:cat>
              </c15:filteredCategoryTitle>
            </c:ext>
            <c:ext xmlns:c16="http://schemas.microsoft.com/office/drawing/2014/chart" uri="{C3380CC4-5D6E-409C-BE32-E72D297353CC}">
              <c16:uniqueId val="{00000000-21B8-4550-9945-0B83E943BFDF}"/>
            </c:ext>
          </c:extLst>
        </c:ser>
        <c:dLbls>
          <c:showLegendKey val="0"/>
          <c:showVal val="0"/>
          <c:showCatName val="0"/>
          <c:showSerName val="0"/>
          <c:showPercent val="0"/>
          <c:showBubbleSize val="0"/>
        </c:dLbls>
        <c:gapWidth val="219"/>
        <c:overlap val="-27"/>
        <c:axId val="-1634413440"/>
        <c:axId val="-1634425728"/>
      </c:barChart>
      <c:catAx>
        <c:axId val="-1634413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4425728"/>
        <c:crosses val="autoZero"/>
        <c:auto val="1"/>
        <c:lblAlgn val="ctr"/>
        <c:lblOffset val="100"/>
        <c:noMultiLvlLbl val="0"/>
      </c:catAx>
      <c:valAx>
        <c:axId val="-1634425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4413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data'!$AO$222</c:f>
              <c:strCache>
                <c:ptCount val="1"/>
                <c:pt idx="0">
                  <c:v>Total Wood Waste Recovered</c:v>
                </c:pt>
              </c:strCache>
            </c:strRef>
          </c:tx>
          <c:spPr>
            <a:solidFill>
              <a:schemeClr val="accent1"/>
            </a:solidFill>
            <a:ln>
              <a:noFill/>
            </a:ln>
            <a:effectLst/>
          </c:spPr>
          <c:invertIfNegative val="0"/>
          <c:cat>
            <c:numRef>
              <c:f>'All data'!$AN$223:$AN$225</c:f>
              <c:numCache>
                <c:formatCode>General</c:formatCode>
                <c:ptCount val="3"/>
                <c:pt idx="0">
                  <c:v>1995</c:v>
                </c:pt>
                <c:pt idx="1">
                  <c:v>1998</c:v>
                </c:pt>
                <c:pt idx="2">
                  <c:v>2016</c:v>
                </c:pt>
              </c:numCache>
            </c:numRef>
          </c:cat>
          <c:val>
            <c:numRef>
              <c:f>'All data'!$AO$223:$AO$225</c:f>
              <c:numCache>
                <c:formatCode>#,##0</c:formatCode>
                <c:ptCount val="3"/>
                <c:pt idx="0">
                  <c:v>10320000</c:v>
                </c:pt>
                <c:pt idx="1">
                  <c:v>8932000</c:v>
                </c:pt>
                <c:pt idx="2">
                  <c:v>0</c:v>
                </c:pt>
              </c:numCache>
            </c:numRef>
          </c:val>
          <c:extLst>
            <c:ext xmlns:c16="http://schemas.microsoft.com/office/drawing/2014/chart" uri="{C3380CC4-5D6E-409C-BE32-E72D297353CC}">
              <c16:uniqueId val="{00000000-86B1-47F3-A329-8E6D4F0127BD}"/>
            </c:ext>
          </c:extLst>
        </c:ser>
        <c:dLbls>
          <c:showLegendKey val="0"/>
          <c:showVal val="0"/>
          <c:showCatName val="0"/>
          <c:showSerName val="0"/>
          <c:showPercent val="0"/>
          <c:showBubbleSize val="0"/>
        </c:dLbls>
        <c:gapWidth val="219"/>
        <c:overlap val="-27"/>
        <c:axId val="-1998559888"/>
        <c:axId val="-1998557568"/>
      </c:barChart>
      <c:catAx>
        <c:axId val="-199855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8557568"/>
        <c:crosses val="autoZero"/>
        <c:auto val="1"/>
        <c:lblAlgn val="ctr"/>
        <c:lblOffset val="100"/>
        <c:noMultiLvlLbl val="0"/>
      </c:catAx>
      <c:valAx>
        <c:axId val="-1998557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8559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Tons of Pallets Recovered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data'!$AQ$247</c:f>
              <c:strCache>
                <c:ptCount val="1"/>
                <c:pt idx="0">
                  <c:v>Pallets</c:v>
                </c:pt>
              </c:strCache>
            </c:strRef>
          </c:tx>
          <c:spPr>
            <a:solidFill>
              <a:schemeClr val="accent1"/>
            </a:solidFill>
            <a:ln>
              <a:noFill/>
            </a:ln>
            <a:effectLst/>
          </c:spPr>
          <c:invertIfNegative val="0"/>
          <c:cat>
            <c:numRef>
              <c:f>'All data'!$AO$248:$AO$250</c:f>
              <c:numCache>
                <c:formatCode>General</c:formatCode>
                <c:ptCount val="3"/>
                <c:pt idx="0">
                  <c:v>2016</c:v>
                </c:pt>
                <c:pt idx="1">
                  <c:v>1998</c:v>
                </c:pt>
                <c:pt idx="2">
                  <c:v>1995</c:v>
                </c:pt>
              </c:numCache>
            </c:numRef>
          </c:cat>
          <c:val>
            <c:numRef>
              <c:f>'All data'!$AQ$248:$AQ$250</c:f>
              <c:numCache>
                <c:formatCode>#,##0</c:formatCode>
                <c:ptCount val="3"/>
                <c:pt idx="0">
                  <c:v>15789872.714580925</c:v>
                </c:pt>
                <c:pt idx="1">
                  <c:v>22072727.272727273</c:v>
                </c:pt>
                <c:pt idx="2">
                  <c:v>32030000</c:v>
                </c:pt>
              </c:numCache>
            </c:numRef>
          </c:val>
          <c:extLst>
            <c:ext xmlns:c16="http://schemas.microsoft.com/office/drawing/2014/chart" uri="{C3380CC4-5D6E-409C-BE32-E72D297353CC}">
              <c16:uniqueId val="{00000000-C5F2-4274-9CF3-5C872981D12B}"/>
            </c:ext>
          </c:extLst>
        </c:ser>
        <c:dLbls>
          <c:showLegendKey val="0"/>
          <c:showVal val="0"/>
          <c:showCatName val="0"/>
          <c:showSerName val="0"/>
          <c:showPercent val="0"/>
          <c:showBubbleSize val="0"/>
        </c:dLbls>
        <c:gapWidth val="219"/>
        <c:overlap val="-27"/>
        <c:axId val="-1729582176"/>
        <c:axId val="-1729947648"/>
      </c:barChart>
      <c:catAx>
        <c:axId val="-17295821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947648"/>
        <c:crosses val="autoZero"/>
        <c:auto val="1"/>
        <c:lblAlgn val="ctr"/>
        <c:lblOffset val="100"/>
        <c:noMultiLvlLbl val="0"/>
      </c:catAx>
      <c:valAx>
        <c:axId val="-1729947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582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E628-7E46-A3A4-61AF78E2275D}"/>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E628-7E46-A3A4-61AF78E2275D}"/>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E628-7E46-A3A4-61AF78E2275D}"/>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E628-7E46-A3A4-61AF78E227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'All data'!$F$190:$F$193</c:f>
              <c:strCache>
                <c:ptCount val="4"/>
                <c:pt idx="0">
                  <c:v>Midwest</c:v>
                </c:pt>
                <c:pt idx="1">
                  <c:v>South</c:v>
                </c:pt>
                <c:pt idx="2">
                  <c:v>Northeast</c:v>
                </c:pt>
                <c:pt idx="3">
                  <c:v>West</c:v>
                </c:pt>
              </c:strCache>
            </c:strRef>
          </c:cat>
          <c:val>
            <c:numRef>
              <c:f>'All data'!$H$190:$H$193</c:f>
              <c:numCache>
                <c:formatCode>General</c:formatCode>
                <c:ptCount val="4"/>
                <c:pt idx="0">
                  <c:v>0.14061752849188944</c:v>
                </c:pt>
                <c:pt idx="1">
                  <c:v>0.46061980128122754</c:v>
                </c:pt>
                <c:pt idx="2">
                  <c:v>0.10951036948658334</c:v>
                </c:pt>
                <c:pt idx="3">
                  <c:v>0.28925230074029978</c:v>
                </c:pt>
              </c:numCache>
            </c:numRef>
          </c:val>
          <c:extLst>
            <c:ext xmlns:c16="http://schemas.microsoft.com/office/drawing/2014/chart" uri="{C3380CC4-5D6E-409C-BE32-E72D297353CC}">
              <c16:uniqueId val="{00000000-1797-9D41-B142-8B7BEDF56D5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 Waste LF</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C7D-344D-8DA6-6B6072E865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C7D-344D-8DA6-6B6072E865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C7D-344D-8DA6-6B6072E865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C7D-344D-8DA6-6B6072E8659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'All data'!$K$194:$K$197</c:f>
              <c:strCache>
                <c:ptCount val="4"/>
                <c:pt idx="0">
                  <c:v>Midwest</c:v>
                </c:pt>
                <c:pt idx="1">
                  <c:v>South</c:v>
                </c:pt>
                <c:pt idx="2">
                  <c:v>Northeast</c:v>
                </c:pt>
                <c:pt idx="3">
                  <c:v>West</c:v>
                </c:pt>
              </c:strCache>
            </c:strRef>
          </c:cat>
          <c:val>
            <c:numRef>
              <c:f>'All data'!$M$194:$M$197</c:f>
              <c:numCache>
                <c:formatCode>#,##0</c:formatCode>
                <c:ptCount val="4"/>
                <c:pt idx="0">
                  <c:v>32911995.735738769</c:v>
                </c:pt>
                <c:pt idx="1">
                  <c:v>89443476.324276477</c:v>
                </c:pt>
                <c:pt idx="2">
                  <c:v>25430897.708864</c:v>
                </c:pt>
                <c:pt idx="3">
                  <c:v>63055920.671954639</c:v>
                </c:pt>
              </c:numCache>
            </c:numRef>
          </c:val>
          <c:extLst>
            <c:ext xmlns:c16="http://schemas.microsoft.com/office/drawing/2014/chart" uri="{C3380CC4-5D6E-409C-BE32-E72D297353CC}">
              <c16:uniqueId val="{00000000-143B-9B42-90DF-D7C41713715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 Rec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E63-A245-B131-D437850A146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63-A245-B131-D437850A146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E63-A245-B131-D437850A146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E63-A245-B131-D437850A146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'All data'!$K$194:$K$197</c:f>
              <c:strCache>
                <c:ptCount val="4"/>
                <c:pt idx="0">
                  <c:v>Midwest</c:v>
                </c:pt>
                <c:pt idx="1">
                  <c:v>South</c:v>
                </c:pt>
                <c:pt idx="2">
                  <c:v>Northeast</c:v>
                </c:pt>
                <c:pt idx="3">
                  <c:v>West</c:v>
                </c:pt>
              </c:strCache>
            </c:strRef>
          </c:cat>
          <c:val>
            <c:numRef>
              <c:f>'All data'!$N$194:$N$197</c:f>
              <c:numCache>
                <c:formatCode>#,##0</c:formatCode>
                <c:ptCount val="4"/>
                <c:pt idx="0">
                  <c:v>410778.25535925233</c:v>
                </c:pt>
                <c:pt idx="1">
                  <c:v>6888637.5599059099</c:v>
                </c:pt>
                <c:pt idx="2">
                  <c:v>156311.12519544218</c:v>
                </c:pt>
                <c:pt idx="3">
                  <c:v>2737306.0545316557</c:v>
                </c:pt>
              </c:numCache>
            </c:numRef>
          </c:val>
          <c:extLst>
            <c:ext xmlns:c16="http://schemas.microsoft.com/office/drawing/2014/chart" uri="{C3380CC4-5D6E-409C-BE32-E72D297353CC}">
              <c16:uniqueId val="{00000000-3912-AE40-BF57-6410C156632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Wood Waste</a:t>
            </a:r>
            <a:r>
              <a:rPr lang="en-US" baseline="0"/>
              <a:t> Landfilled</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367-E54D-AADD-AA872A4C7A7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367-E54D-AADD-AA872A4C7A7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367-E54D-AADD-AA872A4C7A7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367-E54D-AADD-AA872A4C7A7A}"/>
              </c:ext>
            </c:extLst>
          </c:dPt>
          <c:cat>
            <c:strRef>
              <c:f>'All data'!$K$194:$K$197</c:f>
              <c:strCache>
                <c:ptCount val="4"/>
                <c:pt idx="0">
                  <c:v>Midwest</c:v>
                </c:pt>
                <c:pt idx="1">
                  <c:v>South</c:v>
                </c:pt>
                <c:pt idx="2">
                  <c:v>Northeast</c:v>
                </c:pt>
                <c:pt idx="3">
                  <c:v>West</c:v>
                </c:pt>
              </c:strCache>
            </c:strRef>
          </c:cat>
          <c:val>
            <c:numRef>
              <c:f>'All data'!$L$194:$L$197</c:f>
              <c:numCache>
                <c:formatCode>#,##0</c:formatCode>
                <c:ptCount val="4"/>
                <c:pt idx="0">
                  <c:v>997113.04111078056</c:v>
                </c:pt>
                <c:pt idx="1">
                  <c:v>15070470.272969227</c:v>
                </c:pt>
                <c:pt idx="2">
                  <c:v>856806.67627727764</c:v>
                </c:pt>
                <c:pt idx="3">
                  <c:v>3081578.0171759725</c:v>
                </c:pt>
              </c:numCache>
            </c:numRef>
          </c:val>
          <c:extLst>
            <c:ext xmlns:c16="http://schemas.microsoft.com/office/drawing/2014/chart" uri="{C3380CC4-5D6E-409C-BE32-E72D297353CC}">
              <c16:uniqueId val="{00000000-F78F-1B4E-ADE5-4BB2BF840DB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Wood Waste Recovered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81-D14D-B526-8AD45605D0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81-D14D-B526-8AD45605D0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81-D14D-B526-8AD45605D0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81-D14D-B526-8AD45605D0A0}"/>
              </c:ext>
            </c:extLst>
          </c:dPt>
          <c:cat>
            <c:strRef>
              <c:f>'All data'!$K$194:$K$197</c:f>
              <c:strCache>
                <c:ptCount val="4"/>
                <c:pt idx="0">
                  <c:v>Midwest</c:v>
                </c:pt>
                <c:pt idx="1">
                  <c:v>South</c:v>
                </c:pt>
                <c:pt idx="2">
                  <c:v>Northeast</c:v>
                </c:pt>
                <c:pt idx="3">
                  <c:v>West</c:v>
                </c:pt>
              </c:strCache>
            </c:strRef>
          </c:cat>
          <c:val>
            <c:numRef>
              <c:f>'All data'!$N$194:$N$197</c:f>
              <c:numCache>
                <c:formatCode>#,##0</c:formatCode>
                <c:ptCount val="4"/>
                <c:pt idx="0">
                  <c:v>410778.25535925233</c:v>
                </c:pt>
                <c:pt idx="1">
                  <c:v>6888637.5599059099</c:v>
                </c:pt>
                <c:pt idx="2">
                  <c:v>156311.12519544218</c:v>
                </c:pt>
                <c:pt idx="3">
                  <c:v>2737306.0545316557</c:v>
                </c:pt>
              </c:numCache>
            </c:numRef>
          </c:val>
          <c:extLst>
            <c:ext xmlns:c16="http://schemas.microsoft.com/office/drawing/2014/chart" uri="{C3380CC4-5D6E-409C-BE32-E72D297353CC}">
              <c16:uniqueId val="{00000000-D310-C84B-B805-4D915B69D71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Wood Chip Resale Values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'All data'!$AY$181:$BA$181</c:f>
              <c:strCache>
                <c:ptCount val="3"/>
                <c:pt idx="0">
                  <c:v>Commercial Wood Chips</c:v>
                </c:pt>
                <c:pt idx="1">
                  <c:v>Residential Wood Chip</c:v>
                </c:pt>
                <c:pt idx="2">
                  <c:v>Other Uses</c:v>
                </c:pt>
              </c:strCache>
            </c:strRef>
          </c:cat>
          <c:val>
            <c:numRef>
              <c:f>'All data'!$AY$182:$BA$182</c:f>
              <c:numCache>
                <c:formatCode>"$"#,##0.00</c:formatCode>
                <c:ptCount val="3"/>
                <c:pt idx="0">
                  <c:v>14.622692307692308</c:v>
                </c:pt>
                <c:pt idx="1">
                  <c:v>16.828096682248319</c:v>
                </c:pt>
                <c:pt idx="2">
                  <c:v>9.0187500000000007</c:v>
                </c:pt>
              </c:numCache>
            </c:numRef>
          </c:val>
          <c:extLst>
            <c:ext xmlns:c16="http://schemas.microsoft.com/office/drawing/2014/chart" uri="{C3380CC4-5D6E-409C-BE32-E72D297353CC}">
              <c16:uniqueId val="{00000000-D3BB-2C48-BC7E-E8244B810415}"/>
            </c:ext>
          </c:extLst>
        </c:ser>
        <c:dLbls>
          <c:showLegendKey val="0"/>
          <c:showVal val="0"/>
          <c:showCatName val="0"/>
          <c:showSerName val="0"/>
          <c:showPercent val="0"/>
          <c:showBubbleSize val="0"/>
        </c:dLbls>
        <c:gapWidth val="219"/>
        <c:overlap val="-27"/>
        <c:axId val="1520968112"/>
        <c:axId val="1513657472"/>
      </c:barChart>
      <c:catAx>
        <c:axId val="152096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657472"/>
        <c:crosses val="autoZero"/>
        <c:auto val="1"/>
        <c:lblAlgn val="ctr"/>
        <c:lblOffset val="100"/>
        <c:noMultiLvlLbl val="0"/>
      </c:catAx>
      <c:valAx>
        <c:axId val="151365747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0968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35</xdr:col>
      <xdr:colOff>0</xdr:colOff>
      <xdr:row>194</xdr:row>
      <xdr:rowOff>123825</xdr:rowOff>
    </xdr:from>
    <xdr:to>
      <xdr:col>36</xdr:col>
      <xdr:colOff>238125</xdr:colOff>
      <xdr:row>209</xdr:row>
      <xdr:rowOff>104775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34925</xdr:colOff>
      <xdr:row>226</xdr:row>
      <xdr:rowOff>41275</xdr:rowOff>
    </xdr:from>
    <xdr:to>
      <xdr:col>45</xdr:col>
      <xdr:colOff>219075</xdr:colOff>
      <xdr:row>241</xdr:row>
      <xdr:rowOff>22225</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123825</xdr:colOff>
      <xdr:row>243</xdr:row>
      <xdr:rowOff>47625</xdr:rowOff>
    </xdr:from>
    <xdr:to>
      <xdr:col>51</xdr:col>
      <xdr:colOff>85725</xdr:colOff>
      <xdr:row>258</xdr:row>
      <xdr:rowOff>15875</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575235</xdr:colOff>
      <xdr:row>198</xdr:row>
      <xdr:rowOff>100106</xdr:rowOff>
    </xdr:from>
    <xdr:to>
      <xdr:col>8</xdr:col>
      <xdr:colOff>112058</xdr:colOff>
      <xdr:row>212</xdr:row>
      <xdr:rowOff>109071</xdr:rowOff>
    </xdr:to>
    <xdr:graphicFrame macro="">
      <xdr:nvGraphicFramePr>
        <xdr:cNvPr id="2" name="Chart 1">
          <a:extLst>
            <a:ext uri="{FF2B5EF4-FFF2-40B4-BE49-F238E27FC236}">
              <a16:creationId xmlns:a16="http://schemas.microsoft.com/office/drawing/2014/main" id="{C4B22C0A-06CF-F74E-8ACB-ADE230BC60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465666</xdr:colOff>
      <xdr:row>217</xdr:row>
      <xdr:rowOff>67734</xdr:rowOff>
    </xdr:from>
    <xdr:to>
      <xdr:col>14</xdr:col>
      <xdr:colOff>126999</xdr:colOff>
      <xdr:row>231</xdr:row>
      <xdr:rowOff>45156</xdr:rowOff>
    </xdr:to>
    <xdr:graphicFrame macro="">
      <xdr:nvGraphicFramePr>
        <xdr:cNvPr id="5" name="Chart 4">
          <a:extLst>
            <a:ext uri="{FF2B5EF4-FFF2-40B4-BE49-F238E27FC236}">
              <a16:creationId xmlns:a16="http://schemas.microsoft.com/office/drawing/2014/main" id="{AA5CDE9F-4A60-BA45-A269-EBD644653A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338666</xdr:colOff>
      <xdr:row>199</xdr:row>
      <xdr:rowOff>180623</xdr:rowOff>
    </xdr:from>
    <xdr:to>
      <xdr:col>13</xdr:col>
      <xdr:colOff>1594555</xdr:colOff>
      <xdr:row>213</xdr:row>
      <xdr:rowOff>158045</xdr:rowOff>
    </xdr:to>
    <xdr:graphicFrame macro="">
      <xdr:nvGraphicFramePr>
        <xdr:cNvPr id="8" name="Chart 7">
          <a:extLst>
            <a:ext uri="{FF2B5EF4-FFF2-40B4-BE49-F238E27FC236}">
              <a16:creationId xmlns:a16="http://schemas.microsoft.com/office/drawing/2014/main" id="{DC55F623-6D87-7D4D-BD6B-4A1282D5DF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352779</xdr:colOff>
      <xdr:row>233</xdr:row>
      <xdr:rowOff>67734</xdr:rowOff>
    </xdr:from>
    <xdr:to>
      <xdr:col>14</xdr:col>
      <xdr:colOff>14112</xdr:colOff>
      <xdr:row>247</xdr:row>
      <xdr:rowOff>45156</xdr:rowOff>
    </xdr:to>
    <xdr:graphicFrame macro="">
      <xdr:nvGraphicFramePr>
        <xdr:cNvPr id="9" name="Chart 8">
          <a:extLst>
            <a:ext uri="{FF2B5EF4-FFF2-40B4-BE49-F238E27FC236}">
              <a16:creationId xmlns:a16="http://schemas.microsoft.com/office/drawing/2014/main" id="{A954EAED-6135-B74D-AC3A-B4F8381845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649111</xdr:colOff>
      <xdr:row>243</xdr:row>
      <xdr:rowOff>166510</xdr:rowOff>
    </xdr:from>
    <xdr:to>
      <xdr:col>14</xdr:col>
      <xdr:colOff>310444</xdr:colOff>
      <xdr:row>257</xdr:row>
      <xdr:rowOff>143933</xdr:rowOff>
    </xdr:to>
    <xdr:graphicFrame macro="">
      <xdr:nvGraphicFramePr>
        <xdr:cNvPr id="10" name="Chart 9">
          <a:extLst>
            <a:ext uri="{FF2B5EF4-FFF2-40B4-BE49-F238E27FC236}">
              <a16:creationId xmlns:a16="http://schemas.microsoft.com/office/drawing/2014/main" id="{2FB626F1-330A-DC47-894F-FDF0C62151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50</xdr:col>
      <xdr:colOff>98778</xdr:colOff>
      <xdr:row>188</xdr:row>
      <xdr:rowOff>180623</xdr:rowOff>
    </xdr:from>
    <xdr:to>
      <xdr:col>55</xdr:col>
      <xdr:colOff>493889</xdr:colOff>
      <xdr:row>199</xdr:row>
      <xdr:rowOff>31045</xdr:rowOff>
    </xdr:to>
    <xdr:graphicFrame macro="">
      <xdr:nvGraphicFramePr>
        <xdr:cNvPr id="11" name="Chart 10">
          <a:extLst>
            <a:ext uri="{FF2B5EF4-FFF2-40B4-BE49-F238E27FC236}">
              <a16:creationId xmlns:a16="http://schemas.microsoft.com/office/drawing/2014/main" id="{099C78F2-2053-004D-A914-1C784303E7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50"/>
  <sheetViews>
    <sheetView tabSelected="1" view="pageBreakPreview" zoomScale="85" zoomScaleNormal="85" zoomScaleSheetLayoutView="85" workbookViewId="0">
      <pane xSplit="1" topLeftCell="B1" activePane="topRight" state="frozen"/>
      <selection pane="topRight" activeCell="F31" sqref="F31"/>
    </sheetView>
  </sheetViews>
  <sheetFormatPr defaultColWidth="8.85546875" defaultRowHeight="15" x14ac:dyDescent="0.25"/>
  <cols>
    <col min="2" max="2" width="13.28515625" bestFit="1" customWidth="1"/>
    <col min="3" max="3" width="14.140625" bestFit="1" customWidth="1"/>
    <col min="5" max="5" width="24" customWidth="1"/>
    <col min="6" max="6" width="28.28515625" bestFit="1" customWidth="1"/>
    <col min="7" max="7" width="27" bestFit="1" customWidth="1"/>
    <col min="8" max="8" width="10.7109375" customWidth="1"/>
    <col min="9" max="9" width="31.28515625" bestFit="1" customWidth="1"/>
    <col min="10" max="10" width="13.42578125" customWidth="1"/>
    <col min="11" max="11" width="20" bestFit="1" customWidth="1"/>
    <col min="12" max="12" width="21.28515625" customWidth="1"/>
    <col min="13" max="13" width="22.140625" customWidth="1"/>
    <col min="14" max="14" width="21" customWidth="1"/>
    <col min="15" max="15" width="14.28515625" customWidth="1"/>
    <col min="16" max="16" width="14.42578125" style="187" bestFit="1" customWidth="1"/>
    <col min="17" max="17" width="18.28515625" style="23" bestFit="1" customWidth="1"/>
    <col min="18" max="18" width="30.42578125" style="23" bestFit="1" customWidth="1"/>
    <col min="19" max="19" width="22.7109375" style="23" bestFit="1" customWidth="1"/>
    <col min="20" max="21" width="0" style="23" hidden="1" customWidth="1"/>
    <col min="22" max="22" width="0" style="39" hidden="1" customWidth="1"/>
    <col min="23" max="23" width="10.7109375" style="40" bestFit="1" customWidth="1"/>
    <col min="24" max="25" width="8.85546875" style="23" bestFit="1" customWidth="1"/>
    <col min="26" max="26" width="13.140625" style="23" customWidth="1"/>
    <col min="27" max="27" width="11.7109375" style="23" customWidth="1"/>
    <col min="28" max="28" width="13.42578125" style="23" bestFit="1" customWidth="1"/>
    <col min="29" max="29" width="16.28515625" style="23" bestFit="1" customWidth="1"/>
    <col min="30" max="30" width="24.7109375" style="23" bestFit="1" customWidth="1"/>
    <col min="31" max="31" width="12.7109375" style="23" customWidth="1"/>
    <col min="32" max="32" width="14" style="23" bestFit="1" customWidth="1"/>
    <col min="33" max="33" width="20" style="23" bestFit="1" customWidth="1"/>
    <col min="34" max="34" width="9.7109375" style="23" customWidth="1"/>
    <col min="35" max="35" width="28.140625" style="23" customWidth="1"/>
    <col min="36" max="36" width="25.85546875" style="101" bestFit="1" customWidth="1"/>
    <col min="37" max="37" width="8.85546875" style="40"/>
    <col min="38" max="38" width="8.85546875" style="23"/>
    <col min="39" max="39" width="14.42578125" style="23" customWidth="1"/>
    <col min="40" max="40" width="8.85546875" style="23"/>
    <col min="41" max="41" width="25.85546875" style="23" bestFit="1" customWidth="1"/>
    <col min="42" max="42" width="11.140625" style="23" bestFit="1" customWidth="1"/>
    <col min="43" max="43" width="15" style="23" bestFit="1" customWidth="1"/>
    <col min="44" max="44" width="14.7109375" style="23" customWidth="1"/>
    <col min="45" max="46" width="8.85546875" style="23"/>
    <col min="47" max="47" width="12.140625" style="23" bestFit="1" customWidth="1"/>
    <col min="48" max="48" width="11.7109375" style="39" bestFit="1" customWidth="1"/>
    <col min="49" max="49" width="16.42578125" style="40" bestFit="1" customWidth="1"/>
    <col min="50" max="50" width="11.7109375" style="39" bestFit="1" customWidth="1"/>
    <col min="51" max="51" width="8.85546875" style="40"/>
    <col min="52" max="52" width="8.85546875" style="23"/>
    <col min="53" max="53" width="19.140625" style="23" bestFit="1" customWidth="1"/>
    <col min="54" max="57" width="8.85546875" style="23"/>
    <col min="58" max="58" width="15.85546875" style="39" bestFit="1" customWidth="1"/>
    <col min="59" max="59" width="25.85546875" style="40" bestFit="1" customWidth="1"/>
    <col min="60" max="60" width="25.85546875" style="39" customWidth="1"/>
    <col min="61" max="61" width="16.7109375" style="40" bestFit="1" customWidth="1"/>
    <col min="62" max="62" width="40.7109375" style="39" bestFit="1" customWidth="1"/>
    <col min="63" max="63" width="8.85546875" style="40"/>
    <col min="64" max="70" width="8.85546875" style="23"/>
    <col min="71" max="71" width="15.28515625" style="39" bestFit="1" customWidth="1"/>
    <col min="72" max="72" width="11.7109375" style="40" bestFit="1" customWidth="1"/>
    <col min="73" max="74" width="23.42578125" style="23" customWidth="1"/>
    <col min="75" max="76" width="13.85546875" style="23" customWidth="1"/>
    <col min="77" max="77" width="14.28515625" style="23" customWidth="1"/>
    <col min="78" max="78" width="8.85546875" style="39"/>
  </cols>
  <sheetData>
    <row r="1" spans="1:78" ht="15.75" thickBot="1" x14ac:dyDescent="0.3">
      <c r="E1" s="164" t="s">
        <v>303</v>
      </c>
      <c r="F1" s="158" t="s">
        <v>304</v>
      </c>
      <c r="G1" s="214" t="s">
        <v>305</v>
      </c>
      <c r="H1" s="211" t="s">
        <v>335</v>
      </c>
      <c r="I1" s="212"/>
      <c r="J1" s="212"/>
      <c r="K1" s="212"/>
      <c r="L1" s="212"/>
      <c r="M1" s="212"/>
      <c r="N1" s="212"/>
      <c r="O1" s="213"/>
      <c r="P1" s="184"/>
      <c r="Q1" s="271" t="s">
        <v>336</v>
      </c>
      <c r="R1" s="271"/>
      <c r="S1" s="271"/>
      <c r="T1" s="272" t="s">
        <v>337</v>
      </c>
      <c r="U1" s="273"/>
      <c r="V1" s="274"/>
      <c r="W1" s="275" t="s">
        <v>338</v>
      </c>
      <c r="X1" s="276"/>
      <c r="Y1" s="276"/>
      <c r="Z1" s="276"/>
      <c r="AA1" s="276"/>
      <c r="AB1" s="276"/>
      <c r="AC1" s="276"/>
      <c r="AD1" s="276"/>
      <c r="AE1" s="276"/>
      <c r="AF1" s="276"/>
      <c r="AG1" s="276"/>
      <c r="AH1" s="276"/>
      <c r="AI1" s="248"/>
      <c r="AJ1" s="112" t="s">
        <v>135</v>
      </c>
      <c r="AK1" s="258" t="s">
        <v>147</v>
      </c>
      <c r="AL1" s="259"/>
      <c r="AM1" s="259"/>
      <c r="AN1" s="259"/>
      <c r="AO1" s="259"/>
      <c r="AP1" s="259"/>
      <c r="AQ1" s="259"/>
      <c r="AR1" s="259"/>
      <c r="AS1" s="259"/>
      <c r="AT1" s="259"/>
      <c r="AU1" s="259"/>
      <c r="AV1" s="260"/>
      <c r="AW1" s="261" t="s">
        <v>149</v>
      </c>
      <c r="AX1" s="262"/>
      <c r="AY1" s="263" t="s">
        <v>157</v>
      </c>
      <c r="AZ1" s="264"/>
      <c r="BA1" s="264"/>
      <c r="BB1" s="264"/>
      <c r="BC1" s="264"/>
      <c r="BD1" s="264"/>
      <c r="BE1" s="264"/>
      <c r="BF1" s="265"/>
      <c r="BG1" s="124" t="s">
        <v>162</v>
      </c>
      <c r="BH1" s="125" t="s">
        <v>231</v>
      </c>
      <c r="BI1" s="128" t="s">
        <v>164</v>
      </c>
      <c r="BJ1" s="129" t="s">
        <v>166</v>
      </c>
      <c r="BK1" s="266" t="s">
        <v>173</v>
      </c>
      <c r="BL1" s="267"/>
      <c r="BM1" s="267"/>
      <c r="BN1" s="267"/>
      <c r="BO1" s="267"/>
      <c r="BP1" s="267"/>
      <c r="BQ1" s="267"/>
      <c r="BR1" s="267"/>
      <c r="BS1" s="268"/>
      <c r="BT1" s="132" t="s">
        <v>176</v>
      </c>
      <c r="BU1" s="257" t="s">
        <v>198</v>
      </c>
      <c r="BV1" s="257"/>
      <c r="BW1" s="257"/>
      <c r="BX1" s="257"/>
      <c r="BY1" s="257"/>
      <c r="BZ1" s="32"/>
    </row>
    <row r="2" spans="1:78" ht="15.75" thickBot="1" x14ac:dyDescent="0.3">
      <c r="A2" s="14" t="s">
        <v>12</v>
      </c>
      <c r="B2" s="14" t="s">
        <v>62</v>
      </c>
      <c r="C2" s="16" t="s">
        <v>85</v>
      </c>
      <c r="D2" s="16" t="s">
        <v>209</v>
      </c>
      <c r="E2" s="160" t="s">
        <v>84</v>
      </c>
      <c r="F2" s="159" t="s">
        <v>83</v>
      </c>
      <c r="G2" s="159" t="s">
        <v>306</v>
      </c>
      <c r="H2" s="40" t="s">
        <v>67</v>
      </c>
      <c r="I2" s="23" t="s">
        <v>68</v>
      </c>
      <c r="J2" s="23" t="s">
        <v>69</v>
      </c>
      <c r="K2" s="23" t="s">
        <v>70</v>
      </c>
      <c r="L2" s="23" t="s">
        <v>71</v>
      </c>
      <c r="M2" s="23" t="s">
        <v>72</v>
      </c>
      <c r="N2" s="23" t="s">
        <v>73</v>
      </c>
      <c r="O2" s="39" t="s">
        <v>74</v>
      </c>
      <c r="P2" s="185"/>
      <c r="Q2" s="23" t="s">
        <v>78</v>
      </c>
      <c r="R2" s="23" t="s">
        <v>79</v>
      </c>
      <c r="S2" s="23" t="s">
        <v>80</v>
      </c>
      <c r="T2" s="23" t="s">
        <v>114</v>
      </c>
      <c r="U2" s="23" t="s">
        <v>115</v>
      </c>
      <c r="V2" s="39" t="s">
        <v>117</v>
      </c>
      <c r="W2" s="40" t="s">
        <v>119</v>
      </c>
      <c r="X2" s="23" t="s">
        <v>120</v>
      </c>
      <c r="Y2" s="23" t="s">
        <v>121</v>
      </c>
      <c r="Z2" s="23" t="s">
        <v>122</v>
      </c>
      <c r="AA2" s="23" t="s">
        <v>123</v>
      </c>
      <c r="AB2" s="23" t="s">
        <v>124</v>
      </c>
      <c r="AC2" s="23" t="s">
        <v>125</v>
      </c>
      <c r="AD2" s="23" t="s">
        <v>126</v>
      </c>
      <c r="AE2" s="23" t="s">
        <v>127</v>
      </c>
      <c r="AF2" s="23" t="s">
        <v>128</v>
      </c>
      <c r="AG2" s="23" t="s">
        <v>129</v>
      </c>
      <c r="AH2" s="23" t="s">
        <v>130</v>
      </c>
      <c r="AJ2" s="113" t="s">
        <v>135</v>
      </c>
      <c r="AK2" s="115" t="s">
        <v>119</v>
      </c>
      <c r="AL2" s="116" t="s">
        <v>120</v>
      </c>
      <c r="AM2" s="116" t="s">
        <v>139</v>
      </c>
      <c r="AN2" s="116" t="s">
        <v>140</v>
      </c>
      <c r="AO2" s="116" t="s">
        <v>124</v>
      </c>
      <c r="AP2" s="116" t="s">
        <v>141</v>
      </c>
      <c r="AQ2" s="116" t="s">
        <v>142</v>
      </c>
      <c r="AR2" s="116" t="s">
        <v>143</v>
      </c>
      <c r="AS2" s="116" t="s">
        <v>144</v>
      </c>
      <c r="AT2" s="116" t="s">
        <v>145</v>
      </c>
      <c r="AU2" s="116" t="s">
        <v>146</v>
      </c>
      <c r="AV2" s="117" t="s">
        <v>138</v>
      </c>
      <c r="AW2" s="40" t="s">
        <v>148</v>
      </c>
      <c r="AX2" s="39" t="s">
        <v>146</v>
      </c>
      <c r="AY2" s="103" t="s">
        <v>150</v>
      </c>
      <c r="AZ2" s="22" t="s">
        <v>151</v>
      </c>
      <c r="BA2" s="22" t="s">
        <v>152</v>
      </c>
      <c r="BB2" s="22" t="s">
        <v>153</v>
      </c>
      <c r="BC2" s="22" t="s">
        <v>154</v>
      </c>
      <c r="BD2" s="22" t="s">
        <v>155</v>
      </c>
      <c r="BE2" s="22" t="s">
        <v>156</v>
      </c>
      <c r="BF2" s="110" t="s">
        <v>146</v>
      </c>
      <c r="BG2" s="40" t="s">
        <v>161</v>
      </c>
      <c r="BI2" s="130" t="s">
        <v>164</v>
      </c>
      <c r="BJ2" s="131" t="s">
        <v>165</v>
      </c>
      <c r="BK2" s="40" t="s">
        <v>167</v>
      </c>
      <c r="BL2" s="23" t="s">
        <v>168</v>
      </c>
      <c r="BM2" s="23" t="s">
        <v>169</v>
      </c>
      <c r="BN2" s="23" t="s">
        <v>170</v>
      </c>
      <c r="BO2" s="23" t="s">
        <v>171</v>
      </c>
      <c r="BP2" s="23" t="s">
        <v>172</v>
      </c>
      <c r="BR2" s="23" t="s">
        <v>195</v>
      </c>
      <c r="BS2" s="39" t="s">
        <v>163</v>
      </c>
      <c r="BT2" s="40" t="s">
        <v>175</v>
      </c>
      <c r="BU2" s="23" t="s">
        <v>177</v>
      </c>
      <c r="BV2" s="23" t="s">
        <v>163</v>
      </c>
      <c r="BW2" s="23" t="s">
        <v>179</v>
      </c>
      <c r="BX2" s="23" t="s">
        <v>146</v>
      </c>
      <c r="BY2" s="23" t="s">
        <v>178</v>
      </c>
      <c r="BZ2" s="39" t="s">
        <v>146</v>
      </c>
    </row>
    <row r="3" spans="1:78" x14ac:dyDescent="0.25">
      <c r="A3">
        <v>250</v>
      </c>
      <c r="B3" t="s">
        <v>58</v>
      </c>
      <c r="C3" t="s">
        <v>13</v>
      </c>
      <c r="D3" t="s">
        <v>210</v>
      </c>
      <c r="E3" s="30"/>
      <c r="F3" s="32">
        <v>1500000</v>
      </c>
      <c r="G3">
        <f>SUM(L3:O3)</f>
        <v>1500000</v>
      </c>
      <c r="H3" s="5">
        <v>15</v>
      </c>
      <c r="I3" s="2">
        <v>80</v>
      </c>
      <c r="J3" s="2">
        <v>5</v>
      </c>
      <c r="K3" s="2">
        <v>0</v>
      </c>
      <c r="L3" s="2">
        <v>225000</v>
      </c>
      <c r="M3" s="2">
        <v>1200000</v>
      </c>
      <c r="N3" s="2">
        <v>75000</v>
      </c>
      <c r="O3" s="6">
        <v>0</v>
      </c>
      <c r="P3" s="185"/>
      <c r="Q3" s="23">
        <v>55</v>
      </c>
      <c r="R3" s="23">
        <v>35</v>
      </c>
      <c r="T3" s="23" t="s">
        <v>89</v>
      </c>
      <c r="U3" s="23" t="s">
        <v>89</v>
      </c>
      <c r="W3" s="74">
        <v>0</v>
      </c>
      <c r="X3" s="75">
        <v>0</v>
      </c>
      <c r="Y3" s="75">
        <v>71.428571428571431</v>
      </c>
      <c r="Z3" s="75">
        <v>1.7857142857142856</v>
      </c>
      <c r="AA3" s="75">
        <v>26.785714285714285</v>
      </c>
      <c r="AB3" s="75">
        <v>0</v>
      </c>
      <c r="AC3" s="75">
        <v>0</v>
      </c>
      <c r="AD3" s="75">
        <v>0</v>
      </c>
      <c r="AE3" s="75">
        <v>160714.28571428574</v>
      </c>
      <c r="AF3" s="75">
        <v>4017.8571428571427</v>
      </c>
      <c r="AG3" s="75">
        <v>60267.857142857138</v>
      </c>
      <c r="AH3" s="75">
        <v>0</v>
      </c>
      <c r="AI3" s="75"/>
      <c r="AJ3" s="101" t="s">
        <v>64</v>
      </c>
      <c r="AK3" s="98"/>
      <c r="AL3" s="99"/>
      <c r="AM3" s="99"/>
      <c r="AN3" s="99"/>
      <c r="AO3" s="99"/>
      <c r="AP3" s="99"/>
      <c r="AQ3" s="99"/>
      <c r="AR3" s="99"/>
      <c r="AS3" s="99"/>
      <c r="AT3" s="99"/>
      <c r="AU3" s="99" t="s">
        <v>77</v>
      </c>
      <c r="AX3" s="39" t="s">
        <v>77</v>
      </c>
      <c r="AY3" s="103"/>
      <c r="AZ3" s="22"/>
      <c r="BA3" s="22"/>
      <c r="BB3" s="22"/>
      <c r="BC3" s="22"/>
      <c r="BD3" s="22"/>
      <c r="BE3" s="22"/>
      <c r="BF3" s="110" t="s">
        <v>77</v>
      </c>
      <c r="BG3" s="40" t="s">
        <v>77</v>
      </c>
      <c r="BI3" s="103" t="s">
        <v>77</v>
      </c>
      <c r="BJ3" s="110"/>
      <c r="BS3" s="39" t="s">
        <v>77</v>
      </c>
      <c r="BT3" s="40" t="s">
        <v>90</v>
      </c>
      <c r="BV3" s="23" t="s">
        <v>76</v>
      </c>
      <c r="BX3" s="23" t="s">
        <v>77</v>
      </c>
      <c r="BZ3" s="39" t="s">
        <v>77</v>
      </c>
    </row>
    <row r="4" spans="1:78" x14ac:dyDescent="0.25">
      <c r="A4">
        <v>680</v>
      </c>
      <c r="B4" t="s">
        <v>58</v>
      </c>
      <c r="C4" t="s">
        <v>14</v>
      </c>
      <c r="D4" t="s">
        <v>211</v>
      </c>
      <c r="E4" s="40">
        <v>7000</v>
      </c>
      <c r="F4" s="39">
        <v>6721</v>
      </c>
      <c r="G4">
        <f t="shared" ref="G4:G67" si="0">SUM(L4:O4)</f>
        <v>6721</v>
      </c>
      <c r="H4" s="5">
        <v>100</v>
      </c>
      <c r="I4" s="2">
        <v>0</v>
      </c>
      <c r="J4" s="2">
        <v>0</v>
      </c>
      <c r="K4" s="2">
        <v>0</v>
      </c>
      <c r="L4" s="2">
        <v>6721</v>
      </c>
      <c r="M4" s="2">
        <v>0</v>
      </c>
      <c r="N4" s="2">
        <v>0</v>
      </c>
      <c r="O4" s="6">
        <v>0</v>
      </c>
      <c r="P4" s="185"/>
      <c r="Q4" s="23">
        <v>50</v>
      </c>
      <c r="T4" s="23" t="s">
        <v>89</v>
      </c>
      <c r="U4" s="23" t="s">
        <v>89</v>
      </c>
      <c r="W4" s="40">
        <v>0</v>
      </c>
      <c r="X4" s="23">
        <v>10</v>
      </c>
      <c r="Y4" s="23">
        <v>80</v>
      </c>
      <c r="Z4" s="23">
        <v>10</v>
      </c>
      <c r="AA4" s="23">
        <v>0</v>
      </c>
      <c r="AB4" s="23">
        <v>0</v>
      </c>
      <c r="AC4" s="23">
        <v>0</v>
      </c>
      <c r="AD4" s="23">
        <v>672.1</v>
      </c>
      <c r="AE4" s="23">
        <v>5376.8</v>
      </c>
      <c r="AF4" s="23">
        <v>672.1</v>
      </c>
      <c r="AG4" s="23">
        <v>0</v>
      </c>
      <c r="AH4" s="23">
        <v>0</v>
      </c>
      <c r="AJ4" s="101" t="s">
        <v>134</v>
      </c>
      <c r="AK4" s="98"/>
      <c r="AL4" s="99"/>
      <c r="AM4" s="99"/>
      <c r="AN4" s="99"/>
      <c r="AO4" s="99"/>
      <c r="AP4" s="99"/>
      <c r="AQ4" s="99"/>
      <c r="AR4" s="99"/>
      <c r="AS4" s="99"/>
      <c r="AT4" s="99"/>
      <c r="AU4" s="99" t="s">
        <v>77</v>
      </c>
      <c r="AX4" s="39" t="s">
        <v>77</v>
      </c>
      <c r="AY4" s="103"/>
      <c r="AZ4" s="22"/>
      <c r="BA4" s="22"/>
      <c r="BB4" s="22"/>
      <c r="BC4" s="22"/>
      <c r="BD4" s="22"/>
      <c r="BE4" s="22"/>
      <c r="BF4" s="110" t="s">
        <v>77</v>
      </c>
      <c r="BG4" s="40" t="s">
        <v>77</v>
      </c>
      <c r="BI4" s="103" t="s">
        <v>77</v>
      </c>
      <c r="BJ4" s="110"/>
      <c r="BS4" s="39" t="s">
        <v>77</v>
      </c>
      <c r="BT4" s="40" t="s">
        <v>90</v>
      </c>
      <c r="BV4" s="23" t="s">
        <v>76</v>
      </c>
      <c r="BX4" s="23" t="s">
        <v>77</v>
      </c>
      <c r="BZ4" s="39" t="s">
        <v>77</v>
      </c>
    </row>
    <row r="5" spans="1:78" x14ac:dyDescent="0.25">
      <c r="A5">
        <v>698</v>
      </c>
      <c r="B5" t="s">
        <v>58</v>
      </c>
      <c r="C5" t="s">
        <v>15</v>
      </c>
      <c r="D5" t="s">
        <v>212</v>
      </c>
      <c r="E5" s="40">
        <v>14000</v>
      </c>
      <c r="F5" s="39">
        <v>22111</v>
      </c>
      <c r="G5">
        <f t="shared" si="0"/>
        <v>22111</v>
      </c>
      <c r="H5" s="5">
        <v>5.1349234218416573</v>
      </c>
      <c r="I5" s="2">
        <v>33.697090840333864</v>
      </c>
      <c r="J5" s="2">
        <v>7.3633883471543173</v>
      </c>
      <c r="K5" s="2">
        <v>53.80459739067016</v>
      </c>
      <c r="L5" s="2">
        <v>1135.3829178034089</v>
      </c>
      <c r="M5" s="2">
        <v>7450.7637557062208</v>
      </c>
      <c r="N5" s="2">
        <v>1628.118797439291</v>
      </c>
      <c r="O5" s="6">
        <v>11896.73452905108</v>
      </c>
      <c r="P5" s="185"/>
      <c r="Q5" s="23">
        <v>74</v>
      </c>
      <c r="R5" s="23">
        <v>17.25</v>
      </c>
      <c r="S5" s="23">
        <v>17.25</v>
      </c>
      <c r="T5" s="23" t="s">
        <v>89</v>
      </c>
      <c r="U5" s="23" t="s">
        <v>77</v>
      </c>
      <c r="W5" s="98"/>
      <c r="X5" s="99"/>
      <c r="Y5" s="99"/>
      <c r="Z5" s="99"/>
      <c r="AA5" s="99"/>
      <c r="AB5" s="99"/>
      <c r="AC5" s="99"/>
      <c r="AD5" s="99"/>
      <c r="AE5" s="99"/>
      <c r="AF5" s="99"/>
      <c r="AG5" s="99"/>
      <c r="AH5" s="99"/>
      <c r="AI5" s="99"/>
      <c r="AJ5" s="101" t="s">
        <v>64</v>
      </c>
      <c r="AK5" s="40">
        <v>15</v>
      </c>
      <c r="AL5" s="23">
        <v>10</v>
      </c>
      <c r="AM5" s="23">
        <v>30</v>
      </c>
      <c r="AN5" s="23">
        <v>45</v>
      </c>
      <c r="AO5" s="23">
        <v>0</v>
      </c>
      <c r="AP5" s="23">
        <v>244.21781961589363</v>
      </c>
      <c r="AQ5" s="23">
        <v>162.8118797439291</v>
      </c>
      <c r="AR5" s="23">
        <v>488.43563923178726</v>
      </c>
      <c r="AS5" s="23">
        <v>732.65345884768101</v>
      </c>
      <c r="AT5" s="23">
        <v>0</v>
      </c>
      <c r="AU5" s="23" t="s">
        <v>76</v>
      </c>
      <c r="AW5" s="40">
        <v>3700</v>
      </c>
      <c r="AX5" s="39" t="s">
        <v>76</v>
      </c>
      <c r="AY5" s="103">
        <v>0</v>
      </c>
      <c r="AZ5" s="22">
        <v>0</v>
      </c>
      <c r="BA5" s="22">
        <v>0</v>
      </c>
      <c r="BB5" s="22">
        <v>0</v>
      </c>
      <c r="BC5" s="22">
        <v>0</v>
      </c>
      <c r="BD5" s="22">
        <v>0</v>
      </c>
      <c r="BE5" s="22"/>
      <c r="BF5" s="110" t="s">
        <v>77</v>
      </c>
      <c r="BG5" s="40" t="s">
        <v>158</v>
      </c>
      <c r="BH5" s="39" t="s">
        <v>250</v>
      </c>
      <c r="BI5" s="103" t="s">
        <v>89</v>
      </c>
      <c r="BJ5" s="110"/>
      <c r="BS5" s="39" t="s">
        <v>77</v>
      </c>
      <c r="BT5" s="40" t="s">
        <v>89</v>
      </c>
      <c r="BU5" s="23">
        <v>450</v>
      </c>
      <c r="BV5" s="23" t="s">
        <v>76</v>
      </c>
      <c r="BW5" s="23">
        <v>450</v>
      </c>
      <c r="BX5" s="23" t="s">
        <v>76</v>
      </c>
      <c r="BY5" s="23">
        <v>2</v>
      </c>
      <c r="BZ5" s="39" t="s">
        <v>76</v>
      </c>
    </row>
    <row r="6" spans="1:78" x14ac:dyDescent="0.25">
      <c r="A6">
        <v>813</v>
      </c>
      <c r="B6" t="s">
        <v>58</v>
      </c>
      <c r="C6" t="s">
        <v>16</v>
      </c>
      <c r="D6" t="s">
        <v>210</v>
      </c>
      <c r="E6" s="40">
        <v>120000</v>
      </c>
      <c r="F6" s="39">
        <v>111000</v>
      </c>
      <c r="H6" s="178"/>
      <c r="I6" s="177"/>
      <c r="J6" s="177"/>
      <c r="K6" s="177"/>
      <c r="L6" s="177"/>
      <c r="M6" s="177"/>
      <c r="N6" s="177"/>
      <c r="O6" s="179"/>
      <c r="P6" s="185"/>
      <c r="T6" s="23" t="s">
        <v>77</v>
      </c>
      <c r="U6" s="23" t="s">
        <v>77</v>
      </c>
      <c r="W6" s="98"/>
      <c r="X6" s="99"/>
      <c r="Y6" s="99"/>
      <c r="Z6" s="99"/>
      <c r="AA6" s="99"/>
      <c r="AB6" s="99"/>
      <c r="AC6" s="99"/>
      <c r="AD6" s="99"/>
      <c r="AE6" s="99"/>
      <c r="AF6" s="99"/>
      <c r="AG6" s="99"/>
      <c r="AH6" s="99"/>
      <c r="AI6" s="99"/>
      <c r="AJ6" s="101" t="s">
        <v>77</v>
      </c>
      <c r="AK6" s="98"/>
      <c r="AL6" s="99"/>
      <c r="AM6" s="99"/>
      <c r="AN6" s="99"/>
      <c r="AO6" s="99"/>
      <c r="AP6" s="99"/>
      <c r="AQ6" s="99"/>
      <c r="AR6" s="99"/>
      <c r="AS6" s="99"/>
      <c r="AT6" s="99"/>
      <c r="AU6" s="99" t="s">
        <v>77</v>
      </c>
      <c r="AX6" s="39" t="s">
        <v>77</v>
      </c>
      <c r="AY6" s="103"/>
      <c r="AZ6" s="22"/>
      <c r="BA6" s="22"/>
      <c r="BB6" s="22"/>
      <c r="BC6" s="22"/>
      <c r="BD6" s="22"/>
      <c r="BE6" s="22"/>
      <c r="BF6" s="110" t="s">
        <v>77</v>
      </c>
      <c r="BG6" s="40" t="s">
        <v>77</v>
      </c>
      <c r="BI6" s="103" t="s">
        <v>77</v>
      </c>
      <c r="BJ6" s="110"/>
      <c r="BS6" s="39" t="s">
        <v>77</v>
      </c>
      <c r="BT6" s="40" t="s">
        <v>77</v>
      </c>
      <c r="BV6" s="23" t="s">
        <v>201</v>
      </c>
      <c r="BX6" s="23" t="s">
        <v>77</v>
      </c>
      <c r="BZ6" s="39" t="s">
        <v>77</v>
      </c>
    </row>
    <row r="7" spans="1:78" x14ac:dyDescent="0.25">
      <c r="A7">
        <v>829</v>
      </c>
      <c r="B7" t="s">
        <v>59</v>
      </c>
      <c r="C7" t="s">
        <v>17</v>
      </c>
      <c r="D7" t="s">
        <v>212</v>
      </c>
      <c r="E7" s="40">
        <v>180000</v>
      </c>
      <c r="F7" s="39">
        <v>71690</v>
      </c>
      <c r="G7">
        <f t="shared" si="0"/>
        <v>71690</v>
      </c>
      <c r="H7" s="5">
        <v>4.6728971962616823</v>
      </c>
      <c r="I7" s="2">
        <v>88.785046728971963</v>
      </c>
      <c r="J7" s="2">
        <v>0</v>
      </c>
      <c r="K7" s="2">
        <v>6.5420560747663545</v>
      </c>
      <c r="L7" s="2">
        <v>3350</v>
      </c>
      <c r="M7" s="2">
        <v>63650</v>
      </c>
      <c r="N7" s="2">
        <v>0</v>
      </c>
      <c r="O7" s="6">
        <v>4689.9999999999991</v>
      </c>
      <c r="P7" s="185"/>
      <c r="Q7" s="23">
        <v>69</v>
      </c>
      <c r="T7" s="23" t="s">
        <v>64</v>
      </c>
      <c r="U7" s="23" t="s">
        <v>64</v>
      </c>
      <c r="V7" s="39" t="s">
        <v>91</v>
      </c>
      <c r="W7" s="40">
        <v>0</v>
      </c>
      <c r="X7" s="23">
        <v>30</v>
      </c>
      <c r="Y7" s="23">
        <v>25</v>
      </c>
      <c r="Z7" s="23">
        <v>10</v>
      </c>
      <c r="AA7" s="23">
        <v>10</v>
      </c>
      <c r="AB7" s="23">
        <v>25</v>
      </c>
      <c r="AC7" s="23">
        <v>0</v>
      </c>
      <c r="AD7" s="23">
        <v>1005</v>
      </c>
      <c r="AE7" s="23">
        <v>837.5</v>
      </c>
      <c r="AF7" s="23">
        <v>335</v>
      </c>
      <c r="AG7" s="23">
        <v>335</v>
      </c>
      <c r="AH7" s="23">
        <v>837.5</v>
      </c>
      <c r="AJ7" s="101" t="s">
        <v>63</v>
      </c>
      <c r="AK7" s="98"/>
      <c r="AL7" s="99"/>
      <c r="AM7" s="99"/>
      <c r="AN7" s="99"/>
      <c r="AO7" s="99"/>
      <c r="AP7" s="99"/>
      <c r="AQ7" s="99"/>
      <c r="AR7" s="99"/>
      <c r="AS7" s="99"/>
      <c r="AT7" s="99"/>
      <c r="AU7" s="99" t="s">
        <v>77</v>
      </c>
      <c r="AX7" s="39" t="s">
        <v>77</v>
      </c>
      <c r="AY7" s="103"/>
      <c r="AZ7" s="22"/>
      <c r="BA7" s="22"/>
      <c r="BB7" s="22"/>
      <c r="BC7" s="22"/>
      <c r="BD7" s="22"/>
      <c r="BE7" s="22"/>
      <c r="BF7" s="110" t="s">
        <v>77</v>
      </c>
      <c r="BG7" s="40" t="s">
        <v>77</v>
      </c>
      <c r="BI7" s="103" t="s">
        <v>77</v>
      </c>
      <c r="BJ7" s="110"/>
      <c r="BS7" s="39" t="s">
        <v>77</v>
      </c>
      <c r="BT7" s="40" t="s">
        <v>77</v>
      </c>
      <c r="BV7" s="23" t="s">
        <v>201</v>
      </c>
      <c r="BX7" s="23" t="s">
        <v>77</v>
      </c>
      <c r="BZ7" s="39" t="s">
        <v>77</v>
      </c>
    </row>
    <row r="8" spans="1:78" x14ac:dyDescent="0.25">
      <c r="A8">
        <v>862</v>
      </c>
      <c r="B8" t="s">
        <v>58</v>
      </c>
      <c r="C8" t="s">
        <v>18</v>
      </c>
      <c r="D8" t="s">
        <v>210</v>
      </c>
      <c r="E8" s="40">
        <v>193193</v>
      </c>
      <c r="F8" s="39">
        <v>164082</v>
      </c>
      <c r="G8">
        <f t="shared" si="0"/>
        <v>164082</v>
      </c>
      <c r="H8" s="5">
        <v>0</v>
      </c>
      <c r="I8" s="2">
        <v>82.339318145805152</v>
      </c>
      <c r="J8" s="2">
        <v>17.660681854194856</v>
      </c>
      <c r="K8" s="2">
        <v>0</v>
      </c>
      <c r="L8" s="2">
        <v>0</v>
      </c>
      <c r="M8" s="2">
        <v>135104</v>
      </c>
      <c r="N8" s="2">
        <v>28978.000000000004</v>
      </c>
      <c r="O8" s="6">
        <v>0</v>
      </c>
      <c r="P8" s="185"/>
      <c r="Q8" s="23">
        <v>30</v>
      </c>
      <c r="R8" s="23">
        <v>25</v>
      </c>
      <c r="T8" s="23" t="s">
        <v>89</v>
      </c>
      <c r="U8" s="23" t="s">
        <v>89</v>
      </c>
      <c r="W8" s="98"/>
      <c r="X8" s="99"/>
      <c r="Y8" s="99"/>
      <c r="Z8" s="99"/>
      <c r="AA8" s="99"/>
      <c r="AB8" s="99"/>
      <c r="AC8" s="99"/>
      <c r="AD8" s="99"/>
      <c r="AE8" s="99"/>
      <c r="AF8" s="99"/>
      <c r="AG8" s="99"/>
      <c r="AH8" s="99"/>
      <c r="AI8" s="99"/>
      <c r="AJ8" s="101" t="s">
        <v>64</v>
      </c>
      <c r="AK8" s="40">
        <v>0</v>
      </c>
      <c r="AL8" s="23">
        <v>0</v>
      </c>
      <c r="AM8" s="23">
        <v>0</v>
      </c>
      <c r="AN8" s="23">
        <v>100</v>
      </c>
      <c r="AO8" s="23">
        <v>0</v>
      </c>
      <c r="AP8" s="23">
        <v>0</v>
      </c>
      <c r="AQ8" s="23">
        <v>0</v>
      </c>
      <c r="AR8" s="23">
        <v>0</v>
      </c>
      <c r="AS8" s="23">
        <v>28978.000000000004</v>
      </c>
      <c r="AT8" s="23">
        <v>0</v>
      </c>
      <c r="AU8" s="23" t="s">
        <v>76</v>
      </c>
      <c r="AW8" s="40">
        <v>5520</v>
      </c>
      <c r="AX8" s="39" t="s">
        <v>76</v>
      </c>
      <c r="AY8" s="103">
        <v>30</v>
      </c>
      <c r="AZ8" s="22"/>
      <c r="BA8" s="22">
        <v>30</v>
      </c>
      <c r="BB8" s="22"/>
      <c r="BC8" s="22"/>
      <c r="BD8" s="22"/>
      <c r="BE8" s="22"/>
      <c r="BF8" s="110" t="s">
        <v>76</v>
      </c>
      <c r="BG8" s="40" t="s">
        <v>63</v>
      </c>
      <c r="BI8" s="103" t="s">
        <v>77</v>
      </c>
      <c r="BJ8" s="110"/>
      <c r="BS8" s="39" t="s">
        <v>77</v>
      </c>
      <c r="BT8" s="40" t="s">
        <v>90</v>
      </c>
      <c r="BV8" s="23" t="s">
        <v>76</v>
      </c>
      <c r="BX8" s="23" t="s">
        <v>77</v>
      </c>
      <c r="BZ8" s="39" t="s">
        <v>77</v>
      </c>
    </row>
    <row r="9" spans="1:78" x14ac:dyDescent="0.25">
      <c r="A9">
        <v>877</v>
      </c>
      <c r="B9" t="s">
        <v>58</v>
      </c>
      <c r="C9" t="s">
        <v>15</v>
      </c>
      <c r="D9" t="s">
        <v>212</v>
      </c>
      <c r="E9" s="40">
        <v>100000</v>
      </c>
      <c r="F9" s="39">
        <v>200000</v>
      </c>
      <c r="H9" s="178"/>
      <c r="I9" s="177"/>
      <c r="J9" s="177"/>
      <c r="K9" s="177"/>
      <c r="L9" s="177"/>
      <c r="M9" s="177"/>
      <c r="N9" s="177"/>
      <c r="O9" s="179"/>
      <c r="P9" s="185"/>
      <c r="T9" s="23" t="s">
        <v>77</v>
      </c>
      <c r="U9" s="23" t="s">
        <v>77</v>
      </c>
      <c r="W9" s="98"/>
      <c r="X9" s="99"/>
      <c r="Y9" s="99"/>
      <c r="Z9" s="99"/>
      <c r="AA9" s="99"/>
      <c r="AB9" s="99"/>
      <c r="AC9" s="99"/>
      <c r="AD9" s="99"/>
      <c r="AE9" s="99"/>
      <c r="AF9" s="99"/>
      <c r="AG9" s="99"/>
      <c r="AH9" s="99"/>
      <c r="AI9" s="99"/>
      <c r="AJ9" s="101" t="s">
        <v>77</v>
      </c>
      <c r="AK9" s="98"/>
      <c r="AL9" s="99"/>
      <c r="AM9" s="99"/>
      <c r="AN9" s="99"/>
      <c r="AO9" s="99"/>
      <c r="AP9" s="99"/>
      <c r="AQ9" s="99"/>
      <c r="AR9" s="99"/>
      <c r="AS9" s="99"/>
      <c r="AT9" s="99"/>
      <c r="AU9" s="99" t="s">
        <v>77</v>
      </c>
      <c r="AX9" s="39" t="s">
        <v>77</v>
      </c>
      <c r="AY9" s="103"/>
      <c r="AZ9" s="22"/>
      <c r="BA9" s="22"/>
      <c r="BB9" s="22"/>
      <c r="BC9" s="22"/>
      <c r="BD9" s="22"/>
      <c r="BE9" s="22"/>
      <c r="BF9" s="110" t="s">
        <v>77</v>
      </c>
      <c r="BG9" s="40" t="s">
        <v>77</v>
      </c>
      <c r="BI9" s="103" t="s">
        <v>77</v>
      </c>
      <c r="BJ9" s="110"/>
      <c r="BS9" s="39" t="s">
        <v>77</v>
      </c>
      <c r="BT9" s="40" t="s">
        <v>77</v>
      </c>
      <c r="BV9" s="23" t="s">
        <v>201</v>
      </c>
      <c r="BX9" s="23" t="s">
        <v>77</v>
      </c>
      <c r="BZ9" s="39" t="s">
        <v>77</v>
      </c>
    </row>
    <row r="10" spans="1:78" x14ac:dyDescent="0.25">
      <c r="A10">
        <v>899</v>
      </c>
      <c r="B10" t="s">
        <v>58</v>
      </c>
      <c r="C10" t="s">
        <v>15</v>
      </c>
      <c r="D10" t="s">
        <v>212</v>
      </c>
      <c r="E10" s="40">
        <v>88341</v>
      </c>
      <c r="F10" s="39">
        <v>99052</v>
      </c>
      <c r="G10">
        <f t="shared" si="0"/>
        <v>99052</v>
      </c>
      <c r="H10" s="5">
        <v>1</v>
      </c>
      <c r="I10" s="2">
        <v>99</v>
      </c>
      <c r="J10" s="2">
        <v>0</v>
      </c>
      <c r="K10" s="2">
        <v>0</v>
      </c>
      <c r="L10" s="2">
        <v>990.52</v>
      </c>
      <c r="M10" s="2">
        <v>98061.48</v>
      </c>
      <c r="N10" s="2">
        <v>0</v>
      </c>
      <c r="O10" s="6">
        <v>0</v>
      </c>
      <c r="P10" s="185"/>
      <c r="Q10" s="23">
        <v>47.32</v>
      </c>
      <c r="T10" s="23" t="s">
        <v>89</v>
      </c>
      <c r="U10" s="23" t="s">
        <v>89</v>
      </c>
      <c r="W10" s="103">
        <v>10</v>
      </c>
      <c r="X10" s="22">
        <v>10</v>
      </c>
      <c r="Y10" s="22">
        <v>5</v>
      </c>
      <c r="Z10" s="22">
        <v>15</v>
      </c>
      <c r="AA10" s="22">
        <v>0</v>
      </c>
      <c r="AB10" s="22">
        <v>60</v>
      </c>
      <c r="AC10" s="22">
        <v>99.052000000000007</v>
      </c>
      <c r="AD10" s="22">
        <v>99.052000000000007</v>
      </c>
      <c r="AE10" s="22">
        <v>49.526000000000003</v>
      </c>
      <c r="AF10" s="22">
        <v>148.578</v>
      </c>
      <c r="AG10" s="22">
        <v>0</v>
      </c>
      <c r="AH10" s="22">
        <v>594.31200000000001</v>
      </c>
      <c r="AI10" s="22"/>
      <c r="AJ10" s="101" t="s">
        <v>63</v>
      </c>
      <c r="AK10" s="98"/>
      <c r="AL10" s="99"/>
      <c r="AM10" s="99"/>
      <c r="AN10" s="99"/>
      <c r="AO10" s="99"/>
      <c r="AP10" s="99"/>
      <c r="AQ10" s="99"/>
      <c r="AR10" s="99"/>
      <c r="AS10" s="99"/>
      <c r="AT10" s="99"/>
      <c r="AU10" s="99" t="s">
        <v>77</v>
      </c>
      <c r="AX10" s="39" t="s">
        <v>77</v>
      </c>
      <c r="AY10" s="103"/>
      <c r="AZ10" s="22"/>
      <c r="BA10" s="22"/>
      <c r="BB10" s="22"/>
      <c r="BC10" s="22"/>
      <c r="BD10" s="22"/>
      <c r="BE10" s="22"/>
      <c r="BF10" s="110" t="s">
        <v>77</v>
      </c>
      <c r="BG10" s="40" t="s">
        <v>77</v>
      </c>
      <c r="BI10" s="103" t="s">
        <v>77</v>
      </c>
      <c r="BJ10" s="110"/>
      <c r="BS10" s="39" t="s">
        <v>77</v>
      </c>
      <c r="BT10" s="40" t="s">
        <v>90</v>
      </c>
      <c r="BV10" s="23" t="s">
        <v>76</v>
      </c>
      <c r="BX10" s="23" t="s">
        <v>77</v>
      </c>
      <c r="BZ10" s="39" t="s">
        <v>77</v>
      </c>
    </row>
    <row r="11" spans="1:78" x14ac:dyDescent="0.25">
      <c r="A11">
        <v>906</v>
      </c>
      <c r="B11" t="s">
        <v>60</v>
      </c>
      <c r="C11" t="s">
        <v>15</v>
      </c>
      <c r="D11" t="s">
        <v>212</v>
      </c>
      <c r="E11" s="40">
        <v>1400000</v>
      </c>
      <c r="F11" s="39">
        <v>986517</v>
      </c>
      <c r="G11">
        <f t="shared" si="0"/>
        <v>986517</v>
      </c>
      <c r="H11" s="5">
        <v>6.3240674007645072</v>
      </c>
      <c r="I11" s="2">
        <v>83.077534396264838</v>
      </c>
      <c r="J11" s="2">
        <v>9.6568026704050727</v>
      </c>
      <c r="K11" s="2">
        <v>0.94159553256558171</v>
      </c>
      <c r="L11" s="2">
        <v>62387.999999999993</v>
      </c>
      <c r="M11" s="2">
        <v>819574</v>
      </c>
      <c r="N11" s="2">
        <v>95266.000000000015</v>
      </c>
      <c r="O11" s="6">
        <v>9289</v>
      </c>
      <c r="P11" s="185"/>
      <c r="Q11" s="23">
        <v>34</v>
      </c>
      <c r="R11" s="23">
        <v>28</v>
      </c>
      <c r="S11" s="23">
        <v>15</v>
      </c>
      <c r="T11" s="23" t="s">
        <v>64</v>
      </c>
      <c r="U11" s="23" t="s">
        <v>90</v>
      </c>
      <c r="V11" s="39" t="s">
        <v>92</v>
      </c>
      <c r="W11" s="98"/>
      <c r="X11" s="99"/>
      <c r="Y11" s="99"/>
      <c r="Z11" s="99"/>
      <c r="AA11" s="99"/>
      <c r="AB11" s="99"/>
      <c r="AC11" s="99"/>
      <c r="AD11" s="99"/>
      <c r="AE11" s="99"/>
      <c r="AF11" s="99"/>
      <c r="AG11" s="99"/>
      <c r="AH11" s="99"/>
      <c r="AI11" s="99"/>
      <c r="AJ11" s="101" t="s">
        <v>64</v>
      </c>
      <c r="AU11" s="23" t="s">
        <v>137</v>
      </c>
      <c r="AW11" s="40">
        <v>4.4000000000000004</v>
      </c>
      <c r="AX11" s="39" t="s">
        <v>76</v>
      </c>
      <c r="AY11" s="103">
        <v>34</v>
      </c>
      <c r="AZ11" s="22"/>
      <c r="BA11" s="22">
        <v>24</v>
      </c>
      <c r="BB11" s="22"/>
      <c r="BC11" s="22"/>
      <c r="BD11" s="22"/>
      <c r="BE11" s="22"/>
      <c r="BF11" s="110" t="s">
        <v>118</v>
      </c>
      <c r="BG11" s="40" t="s">
        <v>63</v>
      </c>
      <c r="BI11" s="103" t="s">
        <v>77</v>
      </c>
      <c r="BJ11" s="110"/>
      <c r="BS11" s="39" t="s">
        <v>77</v>
      </c>
      <c r="BT11" s="40" t="s">
        <v>77</v>
      </c>
      <c r="BV11" s="23" t="s">
        <v>201</v>
      </c>
      <c r="BX11" s="23" t="s">
        <v>77</v>
      </c>
      <c r="BZ11" s="39" t="s">
        <v>77</v>
      </c>
    </row>
    <row r="12" spans="1:78" x14ac:dyDescent="0.25">
      <c r="A12">
        <v>922</v>
      </c>
      <c r="B12" t="s">
        <v>59</v>
      </c>
      <c r="C12" t="s">
        <v>19</v>
      </c>
      <c r="D12" t="s">
        <v>212</v>
      </c>
      <c r="E12" s="40">
        <v>1500</v>
      </c>
      <c r="F12" s="39">
        <v>48</v>
      </c>
      <c r="G12">
        <f t="shared" si="0"/>
        <v>48.000000000000007</v>
      </c>
      <c r="H12" s="5">
        <v>85</v>
      </c>
      <c r="I12" s="2">
        <v>15</v>
      </c>
      <c r="J12" s="2">
        <v>0</v>
      </c>
      <c r="K12" s="2">
        <v>0</v>
      </c>
      <c r="L12" s="2">
        <v>40.800000000000004</v>
      </c>
      <c r="M12" s="2">
        <v>7.2</v>
      </c>
      <c r="N12" s="2">
        <v>0</v>
      </c>
      <c r="O12" s="6">
        <v>0</v>
      </c>
      <c r="P12" s="185"/>
      <c r="T12" s="23" t="s">
        <v>89</v>
      </c>
      <c r="U12" s="23" t="s">
        <v>89</v>
      </c>
      <c r="W12" s="98"/>
      <c r="X12" s="99"/>
      <c r="Y12" s="99"/>
      <c r="Z12" s="99"/>
      <c r="AA12" s="99"/>
      <c r="AB12" s="99"/>
      <c r="AC12" s="99"/>
      <c r="AD12" s="99"/>
      <c r="AE12" s="99"/>
      <c r="AF12" s="99"/>
      <c r="AG12" s="99"/>
      <c r="AH12" s="99"/>
      <c r="AI12" s="99"/>
      <c r="AJ12" s="101" t="s">
        <v>134</v>
      </c>
      <c r="AK12" s="98"/>
      <c r="AL12" s="99"/>
      <c r="AM12" s="99"/>
      <c r="AN12" s="99"/>
      <c r="AO12" s="99"/>
      <c r="AP12" s="99"/>
      <c r="AQ12" s="99"/>
      <c r="AR12" s="99"/>
      <c r="AS12" s="99"/>
      <c r="AT12" s="99"/>
      <c r="AU12" s="99" t="s">
        <v>77</v>
      </c>
      <c r="AX12" s="39" t="s">
        <v>77</v>
      </c>
      <c r="AY12" s="103"/>
      <c r="AZ12" s="22"/>
      <c r="BA12" s="22"/>
      <c r="BB12" s="22"/>
      <c r="BC12" s="22"/>
      <c r="BD12" s="22"/>
      <c r="BE12" s="22"/>
      <c r="BF12" s="110" t="s">
        <v>77</v>
      </c>
      <c r="BG12" s="40" t="s">
        <v>77</v>
      </c>
      <c r="BI12" s="103" t="s">
        <v>77</v>
      </c>
      <c r="BJ12" s="110"/>
      <c r="BS12" s="39" t="s">
        <v>77</v>
      </c>
      <c r="BT12" s="40" t="s">
        <v>77</v>
      </c>
      <c r="BV12" s="23" t="s">
        <v>201</v>
      </c>
      <c r="BX12" s="23" t="s">
        <v>77</v>
      </c>
      <c r="BZ12" s="39" t="s">
        <v>77</v>
      </c>
    </row>
    <row r="13" spans="1:78" x14ac:dyDescent="0.25">
      <c r="A13">
        <v>946</v>
      </c>
      <c r="B13" t="s">
        <v>59</v>
      </c>
      <c r="C13" t="s">
        <v>19</v>
      </c>
      <c r="D13" t="s">
        <v>212</v>
      </c>
      <c r="E13" s="40">
        <v>15000</v>
      </c>
      <c r="F13" s="39">
        <v>83784</v>
      </c>
      <c r="G13">
        <f t="shared" si="0"/>
        <v>83784</v>
      </c>
      <c r="H13" s="5">
        <v>6.3902415735701323</v>
      </c>
      <c r="I13" s="2">
        <v>79.880406760240618</v>
      </c>
      <c r="J13" s="2">
        <v>7.5861739711639453</v>
      </c>
      <c r="K13" s="2">
        <v>6.1431776950253028</v>
      </c>
      <c r="L13" s="2">
        <v>5354</v>
      </c>
      <c r="M13" s="2">
        <v>66927</v>
      </c>
      <c r="N13" s="2">
        <v>6356</v>
      </c>
      <c r="O13" s="6">
        <v>5146.9999999999991</v>
      </c>
      <c r="P13" s="185"/>
      <c r="Q13" s="23">
        <v>53</v>
      </c>
      <c r="R13" s="23">
        <v>45</v>
      </c>
      <c r="S13" s="23">
        <v>0</v>
      </c>
      <c r="T13" s="23" t="s">
        <v>64</v>
      </c>
      <c r="U13" s="23" t="s">
        <v>64</v>
      </c>
      <c r="W13" s="40">
        <v>0.96260234565169289</v>
      </c>
      <c r="X13" s="23">
        <v>0</v>
      </c>
      <c r="Y13" s="23">
        <v>81.456074352732912</v>
      </c>
      <c r="Z13" s="23">
        <v>0</v>
      </c>
      <c r="AA13" s="23">
        <v>17.581323301615402</v>
      </c>
      <c r="AB13" s="23">
        <v>0</v>
      </c>
      <c r="AC13" s="23">
        <v>51.537729586191638</v>
      </c>
      <c r="AD13" s="23">
        <v>0</v>
      </c>
      <c r="AE13" s="23">
        <v>4361.1582208453201</v>
      </c>
      <c r="AF13" s="23">
        <v>0</v>
      </c>
      <c r="AG13" s="23">
        <v>941.30404956848872</v>
      </c>
      <c r="AH13" s="23">
        <v>0</v>
      </c>
      <c r="AJ13" s="101" t="s">
        <v>64</v>
      </c>
      <c r="AK13" s="40">
        <v>0</v>
      </c>
      <c r="AL13" s="23">
        <v>0</v>
      </c>
      <c r="AM13" s="23">
        <v>0</v>
      </c>
      <c r="AN13" s="23">
        <v>100</v>
      </c>
      <c r="AO13" s="23">
        <v>0</v>
      </c>
      <c r="AP13" s="23">
        <v>0</v>
      </c>
      <c r="AQ13" s="23">
        <v>0</v>
      </c>
      <c r="AR13" s="23">
        <v>0</v>
      </c>
      <c r="AS13" s="23">
        <v>6356</v>
      </c>
      <c r="AT13" s="23">
        <v>0</v>
      </c>
      <c r="AU13" s="23" t="s">
        <v>76</v>
      </c>
      <c r="AW13" s="40">
        <v>0</v>
      </c>
      <c r="AX13" s="39" t="s">
        <v>118</v>
      </c>
      <c r="AY13" s="103">
        <v>10</v>
      </c>
      <c r="AZ13" s="22"/>
      <c r="BA13" s="22">
        <v>10</v>
      </c>
      <c r="BB13" s="22"/>
      <c r="BC13" s="22"/>
      <c r="BD13" s="22"/>
      <c r="BE13" s="22"/>
      <c r="BF13" s="110" t="s">
        <v>76</v>
      </c>
      <c r="BG13" s="40" t="s">
        <v>158</v>
      </c>
      <c r="BH13" s="39" t="s">
        <v>232</v>
      </c>
      <c r="BI13" s="103" t="s">
        <v>64</v>
      </c>
      <c r="BJ13" s="110">
        <v>0</v>
      </c>
      <c r="BR13" s="23" t="s">
        <v>64</v>
      </c>
      <c r="BS13" s="39" t="s">
        <v>65</v>
      </c>
      <c r="BT13" s="40" t="s">
        <v>90</v>
      </c>
      <c r="BV13" s="23" t="s">
        <v>76</v>
      </c>
      <c r="BX13" s="23" t="s">
        <v>77</v>
      </c>
      <c r="BZ13" s="39" t="s">
        <v>77</v>
      </c>
    </row>
    <row r="14" spans="1:78" x14ac:dyDescent="0.25">
      <c r="A14">
        <v>947</v>
      </c>
      <c r="B14" t="s">
        <v>58</v>
      </c>
      <c r="C14" t="s">
        <v>19</v>
      </c>
      <c r="D14" t="s">
        <v>212</v>
      </c>
      <c r="E14" s="40">
        <v>45000</v>
      </c>
      <c r="F14" s="39">
        <v>62967</v>
      </c>
      <c r="G14">
        <f t="shared" si="0"/>
        <v>62967</v>
      </c>
      <c r="H14" s="5">
        <v>0</v>
      </c>
      <c r="I14" s="2">
        <v>100</v>
      </c>
      <c r="J14" s="2">
        <v>0</v>
      </c>
      <c r="K14" s="2">
        <v>0</v>
      </c>
      <c r="L14" s="2">
        <v>0</v>
      </c>
      <c r="M14" s="2">
        <v>62967</v>
      </c>
      <c r="N14" s="2">
        <v>0</v>
      </c>
      <c r="O14" s="6">
        <v>0</v>
      </c>
      <c r="P14" s="185"/>
      <c r="Q14" s="23">
        <v>100</v>
      </c>
      <c r="T14" s="23" t="s">
        <v>89</v>
      </c>
      <c r="U14" s="23" t="s">
        <v>90</v>
      </c>
      <c r="W14" s="98"/>
      <c r="X14" s="99"/>
      <c r="Y14" s="99"/>
      <c r="Z14" s="99"/>
      <c r="AA14" s="99"/>
      <c r="AB14" s="99"/>
      <c r="AC14" s="99"/>
      <c r="AD14" s="99"/>
      <c r="AE14" s="99"/>
      <c r="AF14" s="99"/>
      <c r="AG14" s="99"/>
      <c r="AH14" s="99"/>
      <c r="AI14" s="99"/>
      <c r="AJ14" s="101" t="s">
        <v>63</v>
      </c>
      <c r="AK14" s="98"/>
      <c r="AL14" s="99"/>
      <c r="AM14" s="99"/>
      <c r="AN14" s="99"/>
      <c r="AO14" s="99"/>
      <c r="AP14" s="99"/>
      <c r="AQ14" s="99"/>
      <c r="AR14" s="99"/>
      <c r="AS14" s="99"/>
      <c r="AT14" s="99"/>
      <c r="AU14" s="99" t="s">
        <v>77</v>
      </c>
      <c r="AX14" s="39" t="s">
        <v>77</v>
      </c>
      <c r="AY14" s="103"/>
      <c r="AZ14" s="22"/>
      <c r="BA14" s="22"/>
      <c r="BB14" s="22"/>
      <c r="BC14" s="22"/>
      <c r="BD14" s="22"/>
      <c r="BE14" s="22"/>
      <c r="BF14" s="110" t="s">
        <v>77</v>
      </c>
      <c r="BG14" s="40" t="s">
        <v>77</v>
      </c>
      <c r="BI14" s="103" t="s">
        <v>77</v>
      </c>
      <c r="BJ14" s="110"/>
      <c r="BS14" s="39" t="s">
        <v>77</v>
      </c>
      <c r="BT14" s="40" t="s">
        <v>90</v>
      </c>
      <c r="BV14" s="23" t="s">
        <v>76</v>
      </c>
      <c r="BX14" s="23" t="s">
        <v>77</v>
      </c>
      <c r="BZ14" s="39" t="s">
        <v>77</v>
      </c>
    </row>
    <row r="15" spans="1:78" x14ac:dyDescent="0.25">
      <c r="A15">
        <v>952</v>
      </c>
      <c r="B15" t="s">
        <v>59</v>
      </c>
      <c r="C15" t="s">
        <v>19</v>
      </c>
      <c r="D15" t="s">
        <v>212</v>
      </c>
      <c r="E15" s="40">
        <v>1500</v>
      </c>
      <c r="F15" s="39">
        <v>48</v>
      </c>
      <c r="G15">
        <f t="shared" si="0"/>
        <v>48.000000000000007</v>
      </c>
      <c r="H15" s="5">
        <v>85</v>
      </c>
      <c r="I15" s="2">
        <v>15</v>
      </c>
      <c r="J15" s="2">
        <v>0</v>
      </c>
      <c r="K15" s="2">
        <v>0</v>
      </c>
      <c r="L15" s="2">
        <v>40.800000000000004</v>
      </c>
      <c r="M15" s="2">
        <v>7.2</v>
      </c>
      <c r="N15" s="2">
        <v>0</v>
      </c>
      <c r="O15" s="6">
        <v>0</v>
      </c>
      <c r="P15" s="185"/>
      <c r="T15" s="23" t="s">
        <v>64</v>
      </c>
      <c r="U15" s="23" t="s">
        <v>64</v>
      </c>
      <c r="W15" s="98"/>
      <c r="X15" s="99"/>
      <c r="Y15" s="99"/>
      <c r="Z15" s="99"/>
      <c r="AA15" s="99"/>
      <c r="AB15" s="99"/>
      <c r="AC15" s="99"/>
      <c r="AD15" s="99"/>
      <c r="AE15" s="99"/>
      <c r="AF15" s="99"/>
      <c r="AG15" s="99"/>
      <c r="AH15" s="99"/>
      <c r="AI15" s="99"/>
      <c r="AJ15" s="101" t="s">
        <v>134</v>
      </c>
      <c r="AK15" s="98"/>
      <c r="AL15" s="99"/>
      <c r="AM15" s="99"/>
      <c r="AN15" s="99"/>
      <c r="AO15" s="99"/>
      <c r="AP15" s="99"/>
      <c r="AQ15" s="99"/>
      <c r="AR15" s="99"/>
      <c r="AS15" s="99"/>
      <c r="AT15" s="99"/>
      <c r="AU15" s="99" t="s">
        <v>77</v>
      </c>
      <c r="AX15" s="39" t="s">
        <v>77</v>
      </c>
      <c r="AY15" s="103"/>
      <c r="AZ15" s="22"/>
      <c r="BA15" s="22"/>
      <c r="BB15" s="22"/>
      <c r="BC15" s="22"/>
      <c r="BD15" s="22"/>
      <c r="BE15" s="22"/>
      <c r="BF15" s="110" t="s">
        <v>77</v>
      </c>
      <c r="BG15" s="40" t="s">
        <v>77</v>
      </c>
      <c r="BI15" s="103" t="s">
        <v>77</v>
      </c>
      <c r="BJ15" s="110"/>
      <c r="BS15" s="39" t="s">
        <v>77</v>
      </c>
      <c r="BT15" s="40" t="s">
        <v>63</v>
      </c>
      <c r="BV15" s="23" t="s">
        <v>76</v>
      </c>
      <c r="BX15" s="23" t="s">
        <v>77</v>
      </c>
      <c r="BZ15" s="39" t="s">
        <v>77</v>
      </c>
    </row>
    <row r="16" spans="1:78" x14ac:dyDescent="0.25">
      <c r="A16">
        <v>961</v>
      </c>
      <c r="B16" t="s">
        <v>59</v>
      </c>
      <c r="C16" t="s">
        <v>19</v>
      </c>
      <c r="D16" t="s">
        <v>212</v>
      </c>
      <c r="E16" s="40">
        <v>6000</v>
      </c>
      <c r="F16" s="39">
        <v>10000</v>
      </c>
      <c r="G16">
        <f t="shared" si="0"/>
        <v>10000</v>
      </c>
      <c r="H16" s="5">
        <v>10</v>
      </c>
      <c r="I16" s="2">
        <v>90</v>
      </c>
      <c r="J16" s="2">
        <v>0</v>
      </c>
      <c r="K16" s="2">
        <v>0</v>
      </c>
      <c r="L16" s="2">
        <v>1000</v>
      </c>
      <c r="M16" s="2">
        <v>9000</v>
      </c>
      <c r="N16" s="2">
        <v>0</v>
      </c>
      <c r="O16" s="6">
        <v>0</v>
      </c>
      <c r="P16" s="185"/>
      <c r="Q16" s="23">
        <v>58</v>
      </c>
      <c r="T16" s="23" t="s">
        <v>89</v>
      </c>
      <c r="U16" s="23" t="s">
        <v>89</v>
      </c>
      <c r="W16" s="98"/>
      <c r="X16" s="99"/>
      <c r="Y16" s="99"/>
      <c r="Z16" s="99"/>
      <c r="AA16" s="99"/>
      <c r="AB16" s="99"/>
      <c r="AC16" s="99"/>
      <c r="AD16" s="99"/>
      <c r="AE16" s="99"/>
      <c r="AF16" s="99"/>
      <c r="AG16" s="99"/>
      <c r="AH16" s="99"/>
      <c r="AI16" s="99"/>
      <c r="AJ16" s="101" t="s">
        <v>63</v>
      </c>
      <c r="AK16" s="98"/>
      <c r="AL16" s="99"/>
      <c r="AM16" s="99"/>
      <c r="AN16" s="99"/>
      <c r="AO16" s="99"/>
      <c r="AP16" s="99"/>
      <c r="AQ16" s="99"/>
      <c r="AR16" s="99"/>
      <c r="AS16" s="99"/>
      <c r="AT16" s="99"/>
      <c r="AU16" s="99" t="s">
        <v>77</v>
      </c>
      <c r="AW16" s="40">
        <v>0</v>
      </c>
      <c r="AX16" s="39" t="s">
        <v>118</v>
      </c>
      <c r="AY16" s="103">
        <v>0</v>
      </c>
      <c r="AZ16" s="22"/>
      <c r="BA16" s="22">
        <v>0</v>
      </c>
      <c r="BB16" s="22"/>
      <c r="BC16" s="22">
        <v>0</v>
      </c>
      <c r="BD16" s="22"/>
      <c r="BE16" s="22"/>
      <c r="BF16" s="110" t="s">
        <v>77</v>
      </c>
      <c r="BG16" s="40" t="s">
        <v>63</v>
      </c>
      <c r="BI16" s="103" t="s">
        <v>77</v>
      </c>
      <c r="BJ16" s="110"/>
      <c r="BS16" s="39" t="s">
        <v>77</v>
      </c>
      <c r="BT16" s="40" t="s">
        <v>90</v>
      </c>
      <c r="BV16" s="23" t="s">
        <v>76</v>
      </c>
      <c r="BX16" s="23" t="s">
        <v>77</v>
      </c>
      <c r="BZ16" s="39" t="s">
        <v>77</v>
      </c>
    </row>
    <row r="17" spans="1:78" x14ac:dyDescent="0.25">
      <c r="A17">
        <v>966</v>
      </c>
      <c r="B17" t="s">
        <v>58</v>
      </c>
      <c r="C17" t="s">
        <v>20</v>
      </c>
      <c r="D17" t="s">
        <v>210</v>
      </c>
      <c r="E17" s="40">
        <v>222000</v>
      </c>
      <c r="F17" s="39">
        <v>235576</v>
      </c>
      <c r="G17">
        <f t="shared" si="0"/>
        <v>235576</v>
      </c>
      <c r="H17" s="5">
        <v>0</v>
      </c>
      <c r="I17" s="2">
        <v>99.179679098378287</v>
      </c>
      <c r="J17" s="2">
        <v>0.46328558523680474</v>
      </c>
      <c r="K17" s="2">
        <v>0.35703531638490987</v>
      </c>
      <c r="L17" s="2">
        <v>0</v>
      </c>
      <c r="M17" s="2">
        <v>233643.52083279565</v>
      </c>
      <c r="N17" s="2">
        <v>1091.3896502774551</v>
      </c>
      <c r="O17" s="6">
        <v>841.08951692691528</v>
      </c>
      <c r="P17" s="185"/>
      <c r="Q17" s="23">
        <v>85.5</v>
      </c>
      <c r="R17" s="23">
        <v>85.5</v>
      </c>
      <c r="S17" s="23">
        <v>85.5</v>
      </c>
      <c r="T17" s="23" t="s">
        <v>89</v>
      </c>
      <c r="U17" s="23" t="s">
        <v>89</v>
      </c>
      <c r="AJ17" s="101" t="s">
        <v>63</v>
      </c>
      <c r="AK17" s="98"/>
      <c r="AL17" s="99"/>
      <c r="AM17" s="99"/>
      <c r="AN17" s="99"/>
      <c r="AO17" s="99"/>
      <c r="AP17" s="99"/>
      <c r="AQ17" s="99"/>
      <c r="AR17" s="99"/>
      <c r="AS17" s="99"/>
      <c r="AT17" s="99"/>
      <c r="AU17" s="99" t="s">
        <v>77</v>
      </c>
      <c r="AX17" s="39" t="s">
        <v>77</v>
      </c>
      <c r="AY17" s="103"/>
      <c r="AZ17" s="22"/>
      <c r="BA17" s="22"/>
      <c r="BB17" s="22"/>
      <c r="BC17" s="22"/>
      <c r="BD17" s="22"/>
      <c r="BE17" s="22"/>
      <c r="BF17" s="110" t="s">
        <v>77</v>
      </c>
      <c r="BG17" s="40" t="s">
        <v>77</v>
      </c>
      <c r="BI17" s="103" t="s">
        <v>77</v>
      </c>
      <c r="BJ17" s="110"/>
      <c r="BS17" s="39" t="s">
        <v>77</v>
      </c>
      <c r="BT17" s="40" t="s">
        <v>89</v>
      </c>
      <c r="BU17" s="23">
        <v>358.49</v>
      </c>
      <c r="BV17" s="23" t="s">
        <v>76</v>
      </c>
      <c r="BW17" s="23">
        <v>358.49</v>
      </c>
      <c r="BX17" s="23" t="s">
        <v>76</v>
      </c>
      <c r="BZ17" s="39" t="s">
        <v>76</v>
      </c>
    </row>
    <row r="18" spans="1:78" x14ac:dyDescent="0.25">
      <c r="A18">
        <v>968</v>
      </c>
      <c r="B18" t="s">
        <v>58</v>
      </c>
      <c r="C18" t="s">
        <v>13</v>
      </c>
      <c r="D18" t="s">
        <v>210</v>
      </c>
      <c r="E18" s="40">
        <v>346964</v>
      </c>
      <c r="F18" s="39">
        <v>164918</v>
      </c>
      <c r="G18">
        <f t="shared" si="0"/>
        <v>164918</v>
      </c>
      <c r="H18" s="5">
        <v>1.4583039373418036</v>
      </c>
      <c r="I18" s="2">
        <v>78.870898019926443</v>
      </c>
      <c r="J18" s="2">
        <v>15.213657292268548</v>
      </c>
      <c r="K18" s="2">
        <v>4.4573772321827851</v>
      </c>
      <c r="L18" s="2">
        <v>2405</v>
      </c>
      <c r="M18" s="2">
        <v>130072</v>
      </c>
      <c r="N18" s="2">
        <v>25090.000000000004</v>
      </c>
      <c r="O18" s="6">
        <v>7351</v>
      </c>
      <c r="P18" s="185"/>
      <c r="Q18" s="23">
        <v>42</v>
      </c>
      <c r="R18" s="23">
        <v>25</v>
      </c>
      <c r="T18" s="23" t="s">
        <v>64</v>
      </c>
      <c r="U18" s="23" t="s">
        <v>64</v>
      </c>
      <c r="W18" s="40">
        <v>2</v>
      </c>
      <c r="X18" s="23">
        <v>3</v>
      </c>
      <c r="Y18" s="23">
        <v>30</v>
      </c>
      <c r="Z18" s="23">
        <v>12</v>
      </c>
      <c r="AA18" s="23">
        <v>3</v>
      </c>
      <c r="AB18" s="23">
        <v>50</v>
      </c>
      <c r="AC18" s="23">
        <v>48.1</v>
      </c>
      <c r="AD18" s="23">
        <v>72.150000000000006</v>
      </c>
      <c r="AE18" s="23">
        <v>721.5</v>
      </c>
      <c r="AF18" s="23">
        <v>288.60000000000002</v>
      </c>
      <c r="AG18" s="23">
        <v>72.150000000000006</v>
      </c>
      <c r="AH18" s="23">
        <v>1202.5</v>
      </c>
      <c r="AJ18" s="101" t="s">
        <v>64</v>
      </c>
      <c r="AK18" s="40">
        <v>0</v>
      </c>
      <c r="AL18" s="23">
        <v>0</v>
      </c>
      <c r="AM18" s="23">
        <v>0</v>
      </c>
      <c r="AN18" s="23">
        <v>100</v>
      </c>
      <c r="AO18" s="23">
        <v>0</v>
      </c>
      <c r="AP18" s="23">
        <v>0</v>
      </c>
      <c r="AQ18" s="23">
        <v>0</v>
      </c>
      <c r="AR18" s="23">
        <v>0</v>
      </c>
      <c r="AS18" s="23">
        <v>25090.000000000004</v>
      </c>
      <c r="AT18" s="23">
        <v>0</v>
      </c>
      <c r="AU18" s="23" t="s">
        <v>76</v>
      </c>
      <c r="AV18" s="39" t="s">
        <v>64</v>
      </c>
      <c r="AW18" s="40">
        <v>9059</v>
      </c>
      <c r="AX18" s="39" t="s">
        <v>76</v>
      </c>
      <c r="AY18" s="103"/>
      <c r="AZ18" s="22"/>
      <c r="BA18" s="22"/>
      <c r="BB18" s="22"/>
      <c r="BC18" s="22"/>
      <c r="BD18" s="22"/>
      <c r="BE18" s="22" t="s">
        <v>64</v>
      </c>
      <c r="BF18" s="110" t="s">
        <v>76</v>
      </c>
      <c r="BG18" s="40" t="s">
        <v>63</v>
      </c>
      <c r="BI18" s="103" t="s">
        <v>64</v>
      </c>
      <c r="BJ18" s="110">
        <v>0</v>
      </c>
      <c r="BR18" s="23" t="s">
        <v>64</v>
      </c>
      <c r="BS18" s="39" t="s">
        <v>65</v>
      </c>
      <c r="BT18" s="40" t="s">
        <v>63</v>
      </c>
      <c r="BV18" s="23" t="s">
        <v>76</v>
      </c>
      <c r="BX18" s="23" t="s">
        <v>77</v>
      </c>
      <c r="BZ18" s="39" t="s">
        <v>77</v>
      </c>
    </row>
    <row r="19" spans="1:78" x14ac:dyDescent="0.25">
      <c r="A19">
        <v>969</v>
      </c>
      <c r="B19" t="s">
        <v>59</v>
      </c>
      <c r="C19" t="s">
        <v>13</v>
      </c>
      <c r="D19" t="s">
        <v>210</v>
      </c>
      <c r="E19" s="40">
        <v>1250000</v>
      </c>
      <c r="F19" s="39">
        <v>939135</v>
      </c>
      <c r="H19" s="178"/>
      <c r="I19" s="177"/>
      <c r="J19" s="177"/>
      <c r="K19" s="177"/>
      <c r="L19" s="177"/>
      <c r="M19" s="177"/>
      <c r="N19" s="177"/>
      <c r="O19" s="179"/>
      <c r="P19" s="185"/>
      <c r="Q19" s="23">
        <v>33.6</v>
      </c>
      <c r="R19" s="23">
        <v>29</v>
      </c>
      <c r="S19" s="23">
        <v>29</v>
      </c>
      <c r="T19" s="23" t="s">
        <v>64</v>
      </c>
      <c r="U19" s="23" t="s">
        <v>64</v>
      </c>
      <c r="V19" s="39" t="s">
        <v>93</v>
      </c>
      <c r="W19" s="98"/>
      <c r="X19" s="99"/>
      <c r="Y19" s="99"/>
      <c r="Z19" s="99"/>
      <c r="AA19" s="99"/>
      <c r="AB19" s="99"/>
      <c r="AC19" s="99"/>
      <c r="AD19" s="99"/>
      <c r="AE19" s="99"/>
      <c r="AF19" s="99"/>
      <c r="AG19" s="99"/>
      <c r="AH19" s="99"/>
      <c r="AI19" s="99"/>
      <c r="AJ19" s="101" t="s">
        <v>64</v>
      </c>
      <c r="AK19" s="98"/>
      <c r="AL19" s="99"/>
      <c r="AM19" s="99"/>
      <c r="AN19" s="99"/>
      <c r="AO19" s="99"/>
      <c r="AP19" s="99"/>
      <c r="AQ19" s="99"/>
      <c r="AR19" s="99"/>
      <c r="AS19" s="99"/>
      <c r="AT19" s="99"/>
      <c r="AU19" s="99" t="s">
        <v>77</v>
      </c>
      <c r="AW19" s="40">
        <v>40000</v>
      </c>
      <c r="AX19" s="39" t="s">
        <v>76</v>
      </c>
      <c r="AY19" s="103"/>
      <c r="AZ19" s="22"/>
      <c r="BA19" s="22"/>
      <c r="BB19" s="22"/>
      <c r="BC19" s="22"/>
      <c r="BD19" s="22"/>
      <c r="BE19" s="22" t="s">
        <v>64</v>
      </c>
      <c r="BF19" s="110" t="s">
        <v>76</v>
      </c>
      <c r="BG19" s="40" t="s">
        <v>158</v>
      </c>
      <c r="BH19" s="39" t="s">
        <v>230</v>
      </c>
      <c r="BI19" s="103" t="s">
        <v>64</v>
      </c>
      <c r="BJ19" s="110">
        <v>0</v>
      </c>
      <c r="BR19" s="23" t="s">
        <v>64</v>
      </c>
      <c r="BS19" s="39" t="s">
        <v>65</v>
      </c>
      <c r="BT19" s="40" t="s">
        <v>63</v>
      </c>
      <c r="BV19" s="23" t="s">
        <v>76</v>
      </c>
      <c r="BX19" s="23" t="s">
        <v>77</v>
      </c>
      <c r="BZ19" s="39" t="s">
        <v>77</v>
      </c>
    </row>
    <row r="20" spans="1:78" x14ac:dyDescent="0.25">
      <c r="A20">
        <v>972</v>
      </c>
      <c r="B20" t="s">
        <v>58</v>
      </c>
      <c r="C20" t="s">
        <v>13</v>
      </c>
      <c r="D20" t="s">
        <v>210</v>
      </c>
      <c r="E20" s="40">
        <v>650000</v>
      </c>
      <c r="F20" s="39">
        <v>486805</v>
      </c>
      <c r="G20">
        <f t="shared" si="0"/>
        <v>486805.00000000006</v>
      </c>
      <c r="H20" s="5">
        <v>86.011726229117542</v>
      </c>
      <c r="I20" s="2">
        <v>13.988068335894424</v>
      </c>
      <c r="J20" s="2">
        <v>0</v>
      </c>
      <c r="K20" s="2">
        <v>6.9847895934852453E-3</v>
      </c>
      <c r="L20" s="2">
        <v>418681.00000000006</v>
      </c>
      <c r="M20" s="2">
        <v>68090</v>
      </c>
      <c r="N20" s="2">
        <v>0</v>
      </c>
      <c r="O20" s="6">
        <v>34</v>
      </c>
      <c r="P20" s="185"/>
      <c r="Q20" s="23">
        <v>34</v>
      </c>
      <c r="R20" s="23">
        <v>23</v>
      </c>
      <c r="S20" s="23">
        <v>23</v>
      </c>
      <c r="T20" s="23" t="s">
        <v>89</v>
      </c>
      <c r="U20" s="23" t="s">
        <v>89</v>
      </c>
      <c r="W20" s="98"/>
      <c r="X20" s="99"/>
      <c r="Y20" s="99"/>
      <c r="Z20" s="99"/>
      <c r="AA20" s="99"/>
      <c r="AB20" s="99"/>
      <c r="AC20" s="99"/>
      <c r="AD20" s="99"/>
      <c r="AE20" s="99"/>
      <c r="AF20" s="99"/>
      <c r="AG20" s="99"/>
      <c r="AH20" s="99"/>
      <c r="AI20" s="99"/>
      <c r="AJ20" s="101" t="s">
        <v>64</v>
      </c>
      <c r="AK20" s="98"/>
      <c r="AL20" s="99"/>
      <c r="AM20" s="99"/>
      <c r="AN20" s="99"/>
      <c r="AO20" s="99"/>
      <c r="AP20" s="99"/>
      <c r="AQ20" s="99"/>
      <c r="AR20" s="99"/>
      <c r="AS20" s="99"/>
      <c r="AT20" s="99"/>
      <c r="AU20" s="23" t="s">
        <v>76</v>
      </c>
      <c r="AW20" s="40">
        <v>68090</v>
      </c>
      <c r="AX20" s="39" t="s">
        <v>76</v>
      </c>
      <c r="AY20" s="103"/>
      <c r="AZ20" s="22"/>
      <c r="BA20" s="22"/>
      <c r="BB20" s="22"/>
      <c r="BC20" s="22"/>
      <c r="BD20" s="22"/>
      <c r="BE20" s="22"/>
      <c r="BF20" s="110" t="s">
        <v>77</v>
      </c>
      <c r="BG20" s="40" t="s">
        <v>158</v>
      </c>
      <c r="BH20" s="39" t="s">
        <v>249</v>
      </c>
      <c r="BI20" s="103" t="s">
        <v>89</v>
      </c>
      <c r="BJ20" s="110"/>
      <c r="BR20" s="23" t="s">
        <v>64</v>
      </c>
      <c r="BS20" s="39" t="s">
        <v>65</v>
      </c>
      <c r="BT20" s="40" t="s">
        <v>90</v>
      </c>
      <c r="BV20" s="23" t="s">
        <v>76</v>
      </c>
      <c r="BX20" s="23" t="s">
        <v>77</v>
      </c>
      <c r="BZ20" s="39" t="s">
        <v>77</v>
      </c>
    </row>
    <row r="21" spans="1:78" x14ac:dyDescent="0.25">
      <c r="A21">
        <v>974</v>
      </c>
      <c r="B21" t="s">
        <v>58</v>
      </c>
      <c r="C21" t="s">
        <v>19</v>
      </c>
      <c r="D21" t="s">
        <v>212</v>
      </c>
      <c r="E21" s="40">
        <v>45000</v>
      </c>
      <c r="F21" s="39">
        <v>62967</v>
      </c>
      <c r="G21">
        <f t="shared" si="0"/>
        <v>62967</v>
      </c>
      <c r="H21" s="5">
        <v>0</v>
      </c>
      <c r="I21" s="2">
        <v>100</v>
      </c>
      <c r="J21" s="2">
        <v>0</v>
      </c>
      <c r="K21" s="2">
        <v>0</v>
      </c>
      <c r="L21" s="2">
        <v>0</v>
      </c>
      <c r="M21" s="2">
        <v>62967</v>
      </c>
      <c r="N21" s="2">
        <v>0</v>
      </c>
      <c r="O21" s="6">
        <v>0</v>
      </c>
      <c r="P21" s="185"/>
      <c r="Q21" s="23">
        <v>100</v>
      </c>
      <c r="T21" s="23" t="s">
        <v>89</v>
      </c>
      <c r="U21" s="23" t="s">
        <v>90</v>
      </c>
      <c r="W21" s="98"/>
      <c r="X21" s="99"/>
      <c r="Y21" s="99"/>
      <c r="Z21" s="99"/>
      <c r="AA21" s="99"/>
      <c r="AB21" s="99"/>
      <c r="AC21" s="99"/>
      <c r="AD21" s="99"/>
      <c r="AE21" s="99"/>
      <c r="AF21" s="99"/>
      <c r="AG21" s="99"/>
      <c r="AH21" s="99"/>
      <c r="AI21" s="99"/>
      <c r="AJ21" s="101" t="s">
        <v>64</v>
      </c>
      <c r="AK21" s="98"/>
      <c r="AL21" s="99"/>
      <c r="AM21" s="99"/>
      <c r="AN21" s="99"/>
      <c r="AO21" s="99"/>
      <c r="AP21" s="99"/>
      <c r="AQ21" s="99"/>
      <c r="AR21" s="99"/>
      <c r="AS21" s="99"/>
      <c r="AT21" s="99"/>
      <c r="AU21" s="99" t="s">
        <v>77</v>
      </c>
      <c r="AW21" s="40">
        <v>0</v>
      </c>
      <c r="AX21" s="39" t="s">
        <v>118</v>
      </c>
      <c r="AY21" s="103">
        <v>0</v>
      </c>
      <c r="AZ21" s="22">
        <v>0</v>
      </c>
      <c r="BA21" s="22">
        <v>0</v>
      </c>
      <c r="BB21" s="22">
        <v>0</v>
      </c>
      <c r="BC21" s="22">
        <v>0</v>
      </c>
      <c r="BD21" s="22">
        <v>0</v>
      </c>
      <c r="BE21" s="22"/>
      <c r="BF21" s="110" t="s">
        <v>77</v>
      </c>
      <c r="BG21" s="40" t="s">
        <v>63</v>
      </c>
      <c r="BI21" s="103" t="s">
        <v>77</v>
      </c>
      <c r="BJ21" s="110"/>
      <c r="BS21" s="39" t="s">
        <v>77</v>
      </c>
      <c r="BT21" s="40" t="s">
        <v>90</v>
      </c>
      <c r="BV21" s="23" t="s">
        <v>76</v>
      </c>
      <c r="BX21" s="23" t="s">
        <v>77</v>
      </c>
      <c r="BZ21" s="39" t="s">
        <v>77</v>
      </c>
    </row>
    <row r="22" spans="1:78" x14ac:dyDescent="0.25">
      <c r="A22">
        <v>978</v>
      </c>
      <c r="B22" t="s">
        <v>58</v>
      </c>
      <c r="C22" t="s">
        <v>13</v>
      </c>
      <c r="D22" t="s">
        <v>210</v>
      </c>
      <c r="E22" s="40">
        <v>300000</v>
      </c>
      <c r="F22" s="39">
        <v>320000</v>
      </c>
      <c r="G22">
        <f t="shared" si="0"/>
        <v>320000</v>
      </c>
      <c r="H22" s="5">
        <v>0</v>
      </c>
      <c r="I22" s="2">
        <v>0</v>
      </c>
      <c r="J22" s="2">
        <v>100</v>
      </c>
      <c r="K22" s="2">
        <v>0</v>
      </c>
      <c r="L22" s="2">
        <v>0</v>
      </c>
      <c r="M22" s="2">
        <v>0</v>
      </c>
      <c r="N22" s="2">
        <v>320000</v>
      </c>
      <c r="O22" s="6">
        <v>0</v>
      </c>
      <c r="P22" s="185"/>
      <c r="Q22" s="23">
        <v>45.06</v>
      </c>
      <c r="R22" s="23">
        <v>27.64</v>
      </c>
      <c r="S22" s="23">
        <v>27.62</v>
      </c>
      <c r="T22" s="23" t="s">
        <v>89</v>
      </c>
      <c r="U22" s="23" t="s">
        <v>89</v>
      </c>
      <c r="W22" s="104"/>
      <c r="X22" s="105"/>
      <c r="Y22" s="105"/>
      <c r="Z22" s="105"/>
      <c r="AA22" s="105"/>
      <c r="AB22" s="105"/>
      <c r="AC22" s="105"/>
      <c r="AD22" s="105"/>
      <c r="AE22" s="105"/>
      <c r="AF22" s="105"/>
      <c r="AG22" s="105"/>
      <c r="AH22" s="105"/>
      <c r="AI22" s="105"/>
      <c r="AJ22" s="101" t="s">
        <v>64</v>
      </c>
      <c r="AK22" s="40">
        <v>0</v>
      </c>
      <c r="AL22" s="23">
        <v>0</v>
      </c>
      <c r="AM22" s="23">
        <v>0</v>
      </c>
      <c r="AN22" s="23">
        <v>100</v>
      </c>
      <c r="AO22" s="23">
        <v>0</v>
      </c>
      <c r="AP22" s="23">
        <v>0</v>
      </c>
      <c r="AQ22" s="23">
        <v>0</v>
      </c>
      <c r="AR22" s="23">
        <v>0</v>
      </c>
      <c r="AS22" s="23">
        <v>320000</v>
      </c>
      <c r="AT22" s="23">
        <v>0</v>
      </c>
      <c r="AU22" s="23" t="s">
        <v>76</v>
      </c>
      <c r="AW22" s="40">
        <v>46269</v>
      </c>
      <c r="AX22" s="39" t="s">
        <v>76</v>
      </c>
      <c r="AY22" s="103"/>
      <c r="AZ22" s="22"/>
      <c r="BA22" s="22"/>
      <c r="BB22" s="22"/>
      <c r="BC22" s="22"/>
      <c r="BD22" s="22"/>
      <c r="BE22" s="22" t="s">
        <v>64</v>
      </c>
      <c r="BF22" s="110" t="s">
        <v>76</v>
      </c>
      <c r="BG22" s="40" t="s">
        <v>63</v>
      </c>
      <c r="BI22" s="103" t="s">
        <v>77</v>
      </c>
      <c r="BJ22" s="110"/>
      <c r="BS22" s="39" t="s">
        <v>77</v>
      </c>
      <c r="BT22" s="40" t="s">
        <v>90</v>
      </c>
      <c r="BV22" s="23" t="s">
        <v>76</v>
      </c>
      <c r="BX22" s="23" t="s">
        <v>77</v>
      </c>
      <c r="BZ22" s="39" t="s">
        <v>77</v>
      </c>
    </row>
    <row r="23" spans="1:78" x14ac:dyDescent="0.25">
      <c r="A23">
        <v>981</v>
      </c>
      <c r="B23" t="s">
        <v>58</v>
      </c>
      <c r="C23" t="s">
        <v>13</v>
      </c>
      <c r="D23" t="s">
        <v>210</v>
      </c>
      <c r="E23" s="40">
        <v>60000</v>
      </c>
      <c r="F23" s="39">
        <v>100000</v>
      </c>
      <c r="H23" s="178"/>
      <c r="I23" s="177"/>
      <c r="J23" s="177"/>
      <c r="K23" s="177"/>
      <c r="L23" s="177"/>
      <c r="M23" s="177"/>
      <c r="N23" s="177"/>
      <c r="O23" s="179"/>
      <c r="P23" s="185"/>
      <c r="T23" s="23" t="s">
        <v>77</v>
      </c>
      <c r="U23" s="23" t="s">
        <v>77</v>
      </c>
      <c r="W23" s="98"/>
      <c r="X23" s="99"/>
      <c r="Y23" s="99"/>
      <c r="Z23" s="99"/>
      <c r="AA23" s="99"/>
      <c r="AB23" s="99"/>
      <c r="AC23" s="99"/>
      <c r="AD23" s="99"/>
      <c r="AE23" s="99"/>
      <c r="AF23" s="99"/>
      <c r="AG23" s="99"/>
      <c r="AH23" s="99"/>
      <c r="AI23" s="99"/>
      <c r="AJ23" s="101" t="s">
        <v>77</v>
      </c>
      <c r="AK23" s="98"/>
      <c r="AL23" s="99"/>
      <c r="AM23" s="99"/>
      <c r="AN23" s="99"/>
      <c r="AO23" s="99"/>
      <c r="AP23" s="99"/>
      <c r="AQ23" s="99"/>
      <c r="AR23" s="99"/>
      <c r="AS23" s="99"/>
      <c r="AT23" s="99"/>
      <c r="AU23" s="99" t="s">
        <v>77</v>
      </c>
      <c r="AX23" s="39" t="s">
        <v>77</v>
      </c>
      <c r="AY23" s="121"/>
      <c r="AZ23" s="25"/>
      <c r="BA23" s="25"/>
      <c r="BB23" s="25"/>
      <c r="BC23" s="25"/>
      <c r="BD23" s="25"/>
      <c r="BE23" s="22"/>
      <c r="BF23" s="110" t="s">
        <v>77</v>
      </c>
      <c r="BG23" s="40" t="s">
        <v>77</v>
      </c>
      <c r="BI23" s="103" t="s">
        <v>77</v>
      </c>
      <c r="BJ23" s="110"/>
      <c r="BS23" s="39" t="s">
        <v>77</v>
      </c>
      <c r="BT23" s="40" t="s">
        <v>77</v>
      </c>
      <c r="BV23" s="23" t="s">
        <v>201</v>
      </c>
      <c r="BX23" s="23" t="s">
        <v>77</v>
      </c>
      <c r="BZ23" s="39" t="s">
        <v>77</v>
      </c>
    </row>
    <row r="24" spans="1:78" x14ac:dyDescent="0.25">
      <c r="A24">
        <v>985</v>
      </c>
      <c r="B24" t="s">
        <v>59</v>
      </c>
      <c r="C24" t="s">
        <v>13</v>
      </c>
      <c r="D24" t="s">
        <v>210</v>
      </c>
      <c r="E24" s="40">
        <v>392912</v>
      </c>
      <c r="F24" s="39">
        <v>409497.66</v>
      </c>
      <c r="G24">
        <f t="shared" si="0"/>
        <v>409497.66</v>
      </c>
      <c r="H24" s="5">
        <v>0</v>
      </c>
      <c r="I24" s="2">
        <v>82.68106748887358</v>
      </c>
      <c r="J24" s="2">
        <v>17.318932511126409</v>
      </c>
      <c r="K24" s="2">
        <v>0</v>
      </c>
      <c r="L24" s="2">
        <v>0</v>
      </c>
      <c r="M24" s="2">
        <v>338577.03662995808</v>
      </c>
      <c r="N24" s="2">
        <v>70920.623370041882</v>
      </c>
      <c r="O24" s="6">
        <v>0</v>
      </c>
      <c r="P24" s="185"/>
      <c r="Q24" s="23">
        <v>57.56</v>
      </c>
      <c r="R24" s="23">
        <v>41.37</v>
      </c>
      <c r="S24" s="23">
        <v>48.96</v>
      </c>
      <c r="T24" s="23" t="s">
        <v>89</v>
      </c>
      <c r="U24" s="23" t="s">
        <v>89</v>
      </c>
      <c r="W24" s="98"/>
      <c r="X24" s="99"/>
      <c r="Y24" s="99"/>
      <c r="Z24" s="99"/>
      <c r="AA24" s="99"/>
      <c r="AB24" s="99"/>
      <c r="AC24" s="99"/>
      <c r="AD24" s="99"/>
      <c r="AE24" s="99"/>
      <c r="AF24" s="99"/>
      <c r="AG24" s="99"/>
      <c r="AH24" s="99"/>
      <c r="AI24" s="99"/>
      <c r="AJ24" s="101" t="s">
        <v>64</v>
      </c>
      <c r="AK24" s="40">
        <v>0.79327835109241607</v>
      </c>
      <c r="AL24" s="23">
        <v>0</v>
      </c>
      <c r="AM24" s="23">
        <v>0</v>
      </c>
      <c r="AN24" s="23">
        <v>99.206721648907589</v>
      </c>
      <c r="AO24" s="23">
        <v>0</v>
      </c>
      <c r="AP24" s="23">
        <v>562.59795165433093</v>
      </c>
      <c r="AQ24" s="23">
        <v>0</v>
      </c>
      <c r="AR24" s="23">
        <v>0</v>
      </c>
      <c r="AS24" s="23">
        <v>70358.025418387566</v>
      </c>
      <c r="AT24" s="23">
        <v>0</v>
      </c>
      <c r="AU24" s="23" t="s">
        <v>76</v>
      </c>
      <c r="AW24" s="40">
        <v>36729</v>
      </c>
      <c r="AX24" s="39" t="s">
        <v>76</v>
      </c>
      <c r="AY24" s="103"/>
      <c r="AZ24" s="22"/>
      <c r="BA24" s="22"/>
      <c r="BB24" s="22"/>
      <c r="BC24" s="22"/>
      <c r="BD24" s="22"/>
      <c r="BE24" s="22" t="s">
        <v>64</v>
      </c>
      <c r="BF24" s="110" t="s">
        <v>76</v>
      </c>
      <c r="BG24" s="40" t="s">
        <v>63</v>
      </c>
      <c r="BI24" s="103" t="s">
        <v>77</v>
      </c>
      <c r="BJ24" s="110"/>
      <c r="BS24" s="39" t="s">
        <v>77</v>
      </c>
      <c r="BT24" s="40" t="s">
        <v>90</v>
      </c>
      <c r="BV24" s="23" t="s">
        <v>76</v>
      </c>
      <c r="BX24" s="23" t="s">
        <v>77</v>
      </c>
      <c r="BZ24" s="39" t="s">
        <v>77</v>
      </c>
    </row>
    <row r="25" spans="1:78" x14ac:dyDescent="0.25">
      <c r="A25">
        <v>1000</v>
      </c>
      <c r="B25" t="s">
        <v>58</v>
      </c>
      <c r="C25" t="s">
        <v>21</v>
      </c>
      <c r="D25" t="s">
        <v>210</v>
      </c>
      <c r="E25" s="40">
        <v>44000</v>
      </c>
      <c r="F25" s="39">
        <v>22000</v>
      </c>
      <c r="G25">
        <f t="shared" si="0"/>
        <v>22000</v>
      </c>
      <c r="H25" s="5">
        <v>10</v>
      </c>
      <c r="I25" s="2">
        <v>75</v>
      </c>
      <c r="J25" s="2">
        <v>0</v>
      </c>
      <c r="K25" s="2">
        <v>15</v>
      </c>
      <c r="L25" s="2">
        <v>2200</v>
      </c>
      <c r="M25" s="2">
        <v>16500</v>
      </c>
      <c r="N25" s="2">
        <v>0</v>
      </c>
      <c r="O25" s="6">
        <v>3300</v>
      </c>
      <c r="P25" s="185"/>
      <c r="Q25" s="23">
        <v>43.5</v>
      </c>
      <c r="T25" s="23" t="s">
        <v>89</v>
      </c>
      <c r="U25" s="23" t="s">
        <v>89</v>
      </c>
      <c r="W25" s="40">
        <v>25</v>
      </c>
      <c r="X25" s="23">
        <v>5</v>
      </c>
      <c r="Y25" s="23">
        <v>25</v>
      </c>
      <c r="Z25" s="23">
        <v>5</v>
      </c>
      <c r="AA25" s="23">
        <v>40</v>
      </c>
      <c r="AB25" s="23">
        <v>0</v>
      </c>
      <c r="AC25" s="23">
        <v>550</v>
      </c>
      <c r="AD25" s="23">
        <v>110</v>
      </c>
      <c r="AE25" s="23">
        <v>550</v>
      </c>
      <c r="AF25" s="23">
        <v>110</v>
      </c>
      <c r="AG25" s="23">
        <v>880</v>
      </c>
      <c r="AH25" s="23">
        <v>0</v>
      </c>
      <c r="AJ25" s="101" t="s">
        <v>63</v>
      </c>
      <c r="AK25" s="98"/>
      <c r="AL25" s="99"/>
      <c r="AM25" s="99"/>
      <c r="AN25" s="99"/>
      <c r="AO25" s="99"/>
      <c r="AP25" s="99"/>
      <c r="AQ25" s="99"/>
      <c r="AR25" s="99"/>
      <c r="AS25" s="99"/>
      <c r="AT25" s="99"/>
      <c r="AU25" s="99" t="s">
        <v>77</v>
      </c>
      <c r="AX25" s="39" t="s">
        <v>77</v>
      </c>
      <c r="AY25" s="103"/>
      <c r="AZ25" s="22"/>
      <c r="BA25" s="22"/>
      <c r="BB25" s="22"/>
      <c r="BC25" s="22"/>
      <c r="BD25" s="22"/>
      <c r="BE25" s="22"/>
      <c r="BF25" s="110" t="s">
        <v>77</v>
      </c>
      <c r="BG25" s="40" t="s">
        <v>77</v>
      </c>
      <c r="BI25" s="103" t="s">
        <v>77</v>
      </c>
      <c r="BJ25" s="110"/>
      <c r="BS25" s="39" t="s">
        <v>77</v>
      </c>
      <c r="BT25" s="40" t="s">
        <v>90</v>
      </c>
      <c r="BV25" s="23" t="s">
        <v>76</v>
      </c>
      <c r="BX25" s="23" t="s">
        <v>77</v>
      </c>
      <c r="BZ25" s="39" t="s">
        <v>77</v>
      </c>
    </row>
    <row r="26" spans="1:78" x14ac:dyDescent="0.25">
      <c r="A26">
        <v>1004</v>
      </c>
      <c r="B26" t="s">
        <v>58</v>
      </c>
      <c r="C26" t="s">
        <v>13</v>
      </c>
      <c r="D26" t="s">
        <v>210</v>
      </c>
      <c r="E26" s="40">
        <v>960000</v>
      </c>
      <c r="F26" s="39">
        <v>972000</v>
      </c>
      <c r="H26" s="178"/>
      <c r="I26" s="177"/>
      <c r="J26" s="177"/>
      <c r="K26" s="177"/>
      <c r="L26" s="177"/>
      <c r="M26" s="177"/>
      <c r="N26" s="177"/>
      <c r="O26" s="179"/>
      <c r="P26" s="185"/>
      <c r="T26" s="23" t="s">
        <v>77</v>
      </c>
      <c r="U26" s="23" t="s">
        <v>77</v>
      </c>
      <c r="W26" s="98"/>
      <c r="X26" s="99"/>
      <c r="Y26" s="99"/>
      <c r="Z26" s="99"/>
      <c r="AA26" s="99"/>
      <c r="AB26" s="99"/>
      <c r="AC26" s="99"/>
      <c r="AD26" s="99"/>
      <c r="AE26" s="99"/>
      <c r="AF26" s="99"/>
      <c r="AG26" s="99"/>
      <c r="AH26" s="99"/>
      <c r="AI26" s="99"/>
      <c r="AJ26" s="101" t="s">
        <v>77</v>
      </c>
      <c r="AK26" s="98"/>
      <c r="AL26" s="99"/>
      <c r="AM26" s="99"/>
      <c r="AN26" s="99"/>
      <c r="AO26" s="99"/>
      <c r="AP26" s="99"/>
      <c r="AQ26" s="99"/>
      <c r="AR26" s="99"/>
      <c r="AS26" s="99"/>
      <c r="AT26" s="99"/>
      <c r="AU26" s="99" t="s">
        <v>77</v>
      </c>
      <c r="AX26" s="39" t="s">
        <v>77</v>
      </c>
      <c r="AY26" s="121"/>
      <c r="AZ26" s="25"/>
      <c r="BA26" s="25"/>
      <c r="BB26" s="25"/>
      <c r="BC26" s="25"/>
      <c r="BD26" s="25"/>
      <c r="BE26" s="22"/>
      <c r="BF26" s="110" t="s">
        <v>77</v>
      </c>
      <c r="BG26" s="40" t="s">
        <v>77</v>
      </c>
      <c r="BI26" s="103" t="s">
        <v>77</v>
      </c>
      <c r="BJ26" s="110"/>
      <c r="BS26" s="39" t="s">
        <v>77</v>
      </c>
      <c r="BT26" s="40" t="s">
        <v>77</v>
      </c>
      <c r="BV26" s="23" t="s">
        <v>201</v>
      </c>
      <c r="BX26" s="23" t="s">
        <v>77</v>
      </c>
      <c r="BZ26" s="39" t="s">
        <v>77</v>
      </c>
    </row>
    <row r="27" spans="1:78" x14ac:dyDescent="0.25">
      <c r="A27">
        <v>1005</v>
      </c>
      <c r="B27" t="s">
        <v>59</v>
      </c>
      <c r="C27" t="s">
        <v>21</v>
      </c>
      <c r="D27" t="s">
        <v>210</v>
      </c>
      <c r="E27" s="40">
        <v>3000000</v>
      </c>
      <c r="F27" s="39">
        <v>1200000</v>
      </c>
      <c r="G27">
        <f t="shared" si="0"/>
        <v>1200000</v>
      </c>
      <c r="H27" s="5">
        <v>1</v>
      </c>
      <c r="I27" s="2">
        <v>99</v>
      </c>
      <c r="J27" s="2">
        <v>0</v>
      </c>
      <c r="K27" s="2">
        <v>0</v>
      </c>
      <c r="L27" s="2">
        <v>12000</v>
      </c>
      <c r="M27" s="2">
        <v>1188000</v>
      </c>
      <c r="N27" s="2">
        <v>0</v>
      </c>
      <c r="O27" s="6">
        <v>0</v>
      </c>
      <c r="P27" s="185"/>
      <c r="T27" s="23" t="s">
        <v>89</v>
      </c>
      <c r="U27" s="23" t="s">
        <v>89</v>
      </c>
      <c r="W27" s="98"/>
      <c r="X27" s="99"/>
      <c r="Y27" s="99"/>
      <c r="Z27" s="99"/>
      <c r="AA27" s="99"/>
      <c r="AB27" s="99"/>
      <c r="AC27" s="99"/>
      <c r="AD27" s="99"/>
      <c r="AE27" s="99"/>
      <c r="AF27" s="99"/>
      <c r="AG27" s="99"/>
      <c r="AH27" s="99"/>
      <c r="AI27" s="99"/>
      <c r="AJ27" s="101" t="s">
        <v>63</v>
      </c>
      <c r="AK27" s="98"/>
      <c r="AL27" s="99"/>
      <c r="AM27" s="99"/>
      <c r="AN27" s="99"/>
      <c r="AO27" s="99"/>
      <c r="AP27" s="99"/>
      <c r="AQ27" s="99"/>
      <c r="AR27" s="99"/>
      <c r="AS27" s="99"/>
      <c r="AT27" s="99"/>
      <c r="AU27" s="99" t="s">
        <v>77</v>
      </c>
      <c r="AX27" s="39" t="s">
        <v>77</v>
      </c>
      <c r="AY27" s="103"/>
      <c r="AZ27" s="22"/>
      <c r="BA27" s="22"/>
      <c r="BB27" s="22"/>
      <c r="BC27" s="22"/>
      <c r="BD27" s="22"/>
      <c r="BE27" s="22"/>
      <c r="BF27" s="110" t="s">
        <v>77</v>
      </c>
      <c r="BG27" s="40" t="s">
        <v>77</v>
      </c>
      <c r="BI27" s="103" t="s">
        <v>77</v>
      </c>
      <c r="BJ27" s="110"/>
      <c r="BS27" s="39" t="s">
        <v>77</v>
      </c>
      <c r="BT27" s="40" t="s">
        <v>77</v>
      </c>
      <c r="BV27" s="23" t="s">
        <v>201</v>
      </c>
      <c r="BX27" s="23" t="s">
        <v>77</v>
      </c>
      <c r="BZ27" s="39" t="s">
        <v>77</v>
      </c>
    </row>
    <row r="28" spans="1:78" x14ac:dyDescent="0.25">
      <c r="A28">
        <v>1010</v>
      </c>
      <c r="B28" t="s">
        <v>59</v>
      </c>
      <c r="C28" t="s">
        <v>21</v>
      </c>
      <c r="D28" t="s">
        <v>210</v>
      </c>
      <c r="E28" s="40">
        <v>600000</v>
      </c>
      <c r="F28" s="39">
        <v>630000</v>
      </c>
      <c r="G28">
        <f t="shared" si="0"/>
        <v>630000</v>
      </c>
      <c r="H28" s="5">
        <v>60</v>
      </c>
      <c r="I28" s="2">
        <v>40</v>
      </c>
      <c r="J28" s="2">
        <v>0</v>
      </c>
      <c r="K28" s="2">
        <v>0</v>
      </c>
      <c r="L28" s="2">
        <v>378000</v>
      </c>
      <c r="M28" s="2">
        <v>252000</v>
      </c>
      <c r="N28" s="2">
        <v>0</v>
      </c>
      <c r="O28" s="6">
        <v>0</v>
      </c>
      <c r="P28" s="185"/>
      <c r="Q28" s="23">
        <v>61.44</v>
      </c>
      <c r="T28" s="23" t="s">
        <v>64</v>
      </c>
      <c r="U28" s="23" t="s">
        <v>64</v>
      </c>
      <c r="W28" s="40">
        <v>1</v>
      </c>
      <c r="X28" s="23">
        <v>2</v>
      </c>
      <c r="Y28" s="23">
        <v>60</v>
      </c>
      <c r="Z28" s="23">
        <v>25</v>
      </c>
      <c r="AA28" s="23">
        <v>10</v>
      </c>
      <c r="AB28" s="23">
        <v>2</v>
      </c>
      <c r="AC28" s="23">
        <v>3780</v>
      </c>
      <c r="AD28" s="23">
        <v>7560</v>
      </c>
      <c r="AE28" s="23">
        <v>226800</v>
      </c>
      <c r="AF28" s="23">
        <v>94500</v>
      </c>
      <c r="AG28" s="23">
        <v>37800</v>
      </c>
      <c r="AH28" s="23">
        <v>7560</v>
      </c>
      <c r="AJ28" s="101" t="s">
        <v>63</v>
      </c>
      <c r="AK28" s="98"/>
      <c r="AL28" s="99"/>
      <c r="AM28" s="99"/>
      <c r="AN28" s="99"/>
      <c r="AO28" s="99"/>
      <c r="AP28" s="99"/>
      <c r="AQ28" s="99"/>
      <c r="AR28" s="99"/>
      <c r="AS28" s="99"/>
      <c r="AT28" s="99"/>
      <c r="AU28" s="99" t="s">
        <v>77</v>
      </c>
      <c r="AX28" s="39" t="s">
        <v>77</v>
      </c>
      <c r="AY28" s="103"/>
      <c r="AZ28" s="22"/>
      <c r="BA28" s="22"/>
      <c r="BB28" s="22"/>
      <c r="BC28" s="22"/>
      <c r="BD28" s="22"/>
      <c r="BE28" s="22"/>
      <c r="BF28" s="110" t="s">
        <v>77</v>
      </c>
      <c r="BG28" s="40" t="s">
        <v>77</v>
      </c>
      <c r="BI28" s="103" t="s">
        <v>77</v>
      </c>
      <c r="BJ28" s="110"/>
      <c r="BS28" s="39" t="s">
        <v>77</v>
      </c>
      <c r="BT28" s="40" t="s">
        <v>90</v>
      </c>
      <c r="BV28" s="23" t="s">
        <v>76</v>
      </c>
      <c r="BX28" s="23" t="s">
        <v>77</v>
      </c>
      <c r="BZ28" s="39" t="s">
        <v>77</v>
      </c>
    </row>
    <row r="29" spans="1:78" x14ac:dyDescent="0.25">
      <c r="A29">
        <v>1025</v>
      </c>
      <c r="B29" t="s">
        <v>58</v>
      </c>
      <c r="C29" t="s">
        <v>22</v>
      </c>
      <c r="D29" t="s">
        <v>211</v>
      </c>
      <c r="E29" s="40">
        <v>2000000</v>
      </c>
      <c r="F29" s="39">
        <v>505000</v>
      </c>
      <c r="G29">
        <f t="shared" si="0"/>
        <v>505000</v>
      </c>
      <c r="H29" s="5">
        <v>2.9702970297029703</v>
      </c>
      <c r="I29" s="2">
        <v>97.029702970297024</v>
      </c>
      <c r="J29" s="2">
        <v>0</v>
      </c>
      <c r="K29" s="2">
        <v>0</v>
      </c>
      <c r="L29" s="2">
        <v>15000</v>
      </c>
      <c r="M29" s="2">
        <v>490000</v>
      </c>
      <c r="N29" s="2">
        <v>0</v>
      </c>
      <c r="O29" s="6">
        <v>0</v>
      </c>
      <c r="P29" s="185"/>
      <c r="Q29" s="23">
        <v>48</v>
      </c>
      <c r="T29" s="23" t="s">
        <v>89</v>
      </c>
      <c r="U29" s="23" t="s">
        <v>89</v>
      </c>
      <c r="W29" s="40">
        <v>0</v>
      </c>
      <c r="X29" s="23">
        <v>0</v>
      </c>
      <c r="Y29" s="23">
        <v>100</v>
      </c>
      <c r="Z29" s="23">
        <v>0</v>
      </c>
      <c r="AA29" s="23">
        <v>0</v>
      </c>
      <c r="AB29" s="23">
        <v>0</v>
      </c>
      <c r="AC29" s="23">
        <v>0</v>
      </c>
      <c r="AD29" s="23">
        <v>0</v>
      </c>
      <c r="AE29" s="23">
        <v>15000</v>
      </c>
      <c r="AF29" s="23">
        <v>0</v>
      </c>
      <c r="AG29" s="23">
        <v>0</v>
      </c>
      <c r="AH29" s="23">
        <v>0</v>
      </c>
      <c r="AJ29" s="101" t="s">
        <v>63</v>
      </c>
      <c r="AK29" s="98"/>
      <c r="AL29" s="99"/>
      <c r="AM29" s="99"/>
      <c r="AN29" s="99"/>
      <c r="AO29" s="99"/>
      <c r="AP29" s="99"/>
      <c r="AQ29" s="99"/>
      <c r="AR29" s="99"/>
      <c r="AS29" s="99"/>
      <c r="AT29" s="99"/>
      <c r="AU29" s="99" t="s">
        <v>77</v>
      </c>
      <c r="AX29" s="39" t="s">
        <v>77</v>
      </c>
      <c r="AY29" s="103"/>
      <c r="AZ29" s="22"/>
      <c r="BA29" s="22"/>
      <c r="BB29" s="22"/>
      <c r="BC29" s="22"/>
      <c r="BD29" s="22"/>
      <c r="BE29" s="22"/>
      <c r="BF29" s="110" t="s">
        <v>77</v>
      </c>
      <c r="BG29" s="40" t="s">
        <v>77</v>
      </c>
      <c r="BI29" s="103" t="s">
        <v>77</v>
      </c>
      <c r="BJ29" s="110"/>
      <c r="BS29" s="39" t="s">
        <v>77</v>
      </c>
      <c r="BT29" s="40" t="s">
        <v>90</v>
      </c>
      <c r="BV29" s="23" t="s">
        <v>76</v>
      </c>
      <c r="BX29" s="23" t="s">
        <v>77</v>
      </c>
      <c r="BZ29" s="39" t="s">
        <v>77</v>
      </c>
    </row>
    <row r="30" spans="1:78" x14ac:dyDescent="0.25">
      <c r="A30">
        <v>1035</v>
      </c>
      <c r="B30" t="s">
        <v>59</v>
      </c>
      <c r="C30" t="s">
        <v>22</v>
      </c>
      <c r="D30" t="s">
        <v>211</v>
      </c>
      <c r="E30" s="40">
        <v>50000</v>
      </c>
      <c r="F30" s="39">
        <v>150000</v>
      </c>
      <c r="G30">
        <f t="shared" si="0"/>
        <v>150000</v>
      </c>
      <c r="H30" s="5">
        <v>5</v>
      </c>
      <c r="I30" s="2">
        <v>95</v>
      </c>
      <c r="J30" s="2">
        <v>0</v>
      </c>
      <c r="K30" s="2">
        <v>0</v>
      </c>
      <c r="L30" s="2">
        <v>7500</v>
      </c>
      <c r="M30" s="2">
        <v>142500</v>
      </c>
      <c r="N30" s="2">
        <v>0</v>
      </c>
      <c r="O30" s="6">
        <v>0</v>
      </c>
      <c r="P30" s="185"/>
      <c r="Q30" s="23">
        <v>30</v>
      </c>
      <c r="T30" s="23" t="s">
        <v>64</v>
      </c>
      <c r="U30" s="23" t="s">
        <v>64</v>
      </c>
      <c r="W30" s="40">
        <v>5</v>
      </c>
      <c r="X30" s="23">
        <v>10</v>
      </c>
      <c r="Y30" s="23">
        <v>70</v>
      </c>
      <c r="Z30" s="23">
        <v>5</v>
      </c>
      <c r="AA30" s="23">
        <v>0</v>
      </c>
      <c r="AB30" s="23">
        <v>10</v>
      </c>
      <c r="AC30" s="23">
        <v>375</v>
      </c>
      <c r="AD30" s="23">
        <v>750</v>
      </c>
      <c r="AE30" s="23">
        <v>5250</v>
      </c>
      <c r="AF30" s="23">
        <v>375</v>
      </c>
      <c r="AG30" s="23">
        <v>0</v>
      </c>
      <c r="AH30" s="23">
        <v>750</v>
      </c>
      <c r="AJ30" s="101" t="s">
        <v>63</v>
      </c>
      <c r="AK30" s="98"/>
      <c r="AL30" s="99"/>
      <c r="AM30" s="99"/>
      <c r="AN30" s="99"/>
      <c r="AO30" s="99"/>
      <c r="AP30" s="99"/>
      <c r="AQ30" s="99"/>
      <c r="AR30" s="99"/>
      <c r="AS30" s="99"/>
      <c r="AT30" s="99"/>
      <c r="AU30" s="99" t="s">
        <v>77</v>
      </c>
      <c r="AV30" s="39" t="s">
        <v>64</v>
      </c>
      <c r="AX30" s="39" t="s">
        <v>77</v>
      </c>
      <c r="AY30" s="103"/>
      <c r="AZ30" s="22"/>
      <c r="BA30" s="22"/>
      <c r="BB30" s="22"/>
      <c r="BC30" s="22"/>
      <c r="BD30" s="22"/>
      <c r="BE30" s="22"/>
      <c r="BF30" s="110" t="s">
        <v>77</v>
      </c>
      <c r="BG30" s="40" t="s">
        <v>77</v>
      </c>
      <c r="BI30" s="103" t="s">
        <v>77</v>
      </c>
      <c r="BJ30" s="110"/>
      <c r="BS30" s="39" t="s">
        <v>77</v>
      </c>
      <c r="BT30" s="40" t="s">
        <v>77</v>
      </c>
      <c r="BV30" s="23" t="s">
        <v>201</v>
      </c>
      <c r="BX30" s="23" t="s">
        <v>77</v>
      </c>
      <c r="BZ30" s="39" t="s">
        <v>77</v>
      </c>
    </row>
    <row r="31" spans="1:78" x14ac:dyDescent="0.25">
      <c r="A31">
        <v>1053</v>
      </c>
      <c r="B31" t="s">
        <v>58</v>
      </c>
      <c r="C31" t="s">
        <v>23</v>
      </c>
      <c r="D31" t="s">
        <v>211</v>
      </c>
      <c r="E31" s="40">
        <v>80000</v>
      </c>
      <c r="F31" s="39">
        <v>78405</v>
      </c>
      <c r="G31">
        <f t="shared" si="0"/>
        <v>78405.000000000015</v>
      </c>
      <c r="H31" s="5">
        <v>0</v>
      </c>
      <c r="I31" s="2">
        <v>93.537401951406167</v>
      </c>
      <c r="J31" s="2">
        <v>6.4625980485938399</v>
      </c>
      <c r="K31" s="2">
        <v>0</v>
      </c>
      <c r="L31" s="2">
        <v>0</v>
      </c>
      <c r="M31" s="2">
        <v>73338.000000000015</v>
      </c>
      <c r="N31" s="2">
        <v>5067</v>
      </c>
      <c r="O31" s="6">
        <v>0</v>
      </c>
      <c r="P31" s="185"/>
      <c r="Q31" s="23">
        <v>27.5</v>
      </c>
      <c r="T31" s="23" t="s">
        <v>89</v>
      </c>
      <c r="U31" s="23" t="s">
        <v>90</v>
      </c>
      <c r="V31" s="39" t="s">
        <v>94</v>
      </c>
      <c r="W31" s="98"/>
      <c r="X31" s="99"/>
      <c r="Y31" s="99"/>
      <c r="Z31" s="99"/>
      <c r="AA31" s="99"/>
      <c r="AB31" s="99"/>
      <c r="AC31" s="99"/>
      <c r="AD31" s="99"/>
      <c r="AE31" s="99"/>
      <c r="AF31" s="99"/>
      <c r="AG31" s="99"/>
      <c r="AH31" s="99"/>
      <c r="AI31" s="99"/>
      <c r="AJ31" s="101" t="s">
        <v>64</v>
      </c>
      <c r="AK31" s="40">
        <v>1.2446518864255154</v>
      </c>
      <c r="AL31" s="23">
        <v>0</v>
      </c>
      <c r="AM31" s="23">
        <v>0</v>
      </c>
      <c r="AN31" s="23">
        <v>98.755348113574485</v>
      </c>
      <c r="AO31" s="23">
        <v>0</v>
      </c>
      <c r="AP31" s="23">
        <v>63.066511085180863</v>
      </c>
      <c r="AQ31" s="23">
        <v>0</v>
      </c>
      <c r="AR31" s="23">
        <v>0</v>
      </c>
      <c r="AS31" s="23">
        <v>5003.9334889148195</v>
      </c>
      <c r="AT31" s="23">
        <v>0</v>
      </c>
      <c r="AU31" s="23" t="s">
        <v>76</v>
      </c>
      <c r="AW31" s="40">
        <v>0</v>
      </c>
      <c r="AX31" s="39" t="s">
        <v>118</v>
      </c>
      <c r="AY31" s="103"/>
      <c r="AZ31" s="22"/>
      <c r="BA31" s="22"/>
      <c r="BB31" s="22"/>
      <c r="BC31" s="22"/>
      <c r="BD31" s="22"/>
      <c r="BE31" s="22"/>
      <c r="BF31" s="110" t="s">
        <v>77</v>
      </c>
      <c r="BG31" s="40" t="s">
        <v>63</v>
      </c>
      <c r="BI31" s="103" t="s">
        <v>77</v>
      </c>
      <c r="BJ31" s="110"/>
      <c r="BS31" s="39" t="s">
        <v>77</v>
      </c>
      <c r="BT31" s="40" t="s">
        <v>90</v>
      </c>
      <c r="BV31" s="23" t="s">
        <v>76</v>
      </c>
      <c r="BX31" s="23" t="s">
        <v>77</v>
      </c>
      <c r="BZ31" s="39" t="s">
        <v>77</v>
      </c>
    </row>
    <row r="32" spans="1:78" x14ac:dyDescent="0.25">
      <c r="A32">
        <v>1063</v>
      </c>
      <c r="B32" t="s">
        <v>58</v>
      </c>
      <c r="C32" t="s">
        <v>23</v>
      </c>
      <c r="D32" t="s">
        <v>211</v>
      </c>
      <c r="E32" s="40">
        <v>1000000</v>
      </c>
      <c r="F32" s="39">
        <v>1100000</v>
      </c>
      <c r="G32">
        <f t="shared" si="0"/>
        <v>1100000</v>
      </c>
      <c r="H32" s="5">
        <v>0</v>
      </c>
      <c r="I32" s="2">
        <v>99</v>
      </c>
      <c r="J32" s="2">
        <v>1</v>
      </c>
      <c r="K32" s="2">
        <v>0</v>
      </c>
      <c r="L32" s="2">
        <v>0</v>
      </c>
      <c r="M32" s="2">
        <v>1089000</v>
      </c>
      <c r="N32" s="2">
        <v>11000</v>
      </c>
      <c r="O32" s="6">
        <v>0</v>
      </c>
      <c r="P32" s="185"/>
      <c r="Q32" s="23">
        <v>35</v>
      </c>
      <c r="R32" s="23">
        <v>35</v>
      </c>
      <c r="T32" s="23" t="s">
        <v>89</v>
      </c>
      <c r="U32" s="23" t="s">
        <v>89</v>
      </c>
      <c r="W32" s="104"/>
      <c r="X32" s="105"/>
      <c r="Y32" s="105"/>
      <c r="Z32" s="105"/>
      <c r="AA32" s="105"/>
      <c r="AB32" s="105"/>
      <c r="AC32" s="105"/>
      <c r="AD32" s="105"/>
      <c r="AE32" s="105"/>
      <c r="AF32" s="105"/>
      <c r="AG32" s="105"/>
      <c r="AH32" s="105"/>
      <c r="AI32" s="105"/>
      <c r="AJ32" s="101" t="s">
        <v>64</v>
      </c>
      <c r="AK32" s="40">
        <v>0</v>
      </c>
      <c r="AL32" s="23">
        <v>0</v>
      </c>
      <c r="AM32" s="23">
        <v>0</v>
      </c>
      <c r="AN32" s="23">
        <v>100</v>
      </c>
      <c r="AO32" s="23">
        <v>0</v>
      </c>
      <c r="AP32" s="23">
        <v>0</v>
      </c>
      <c r="AQ32" s="23">
        <v>0</v>
      </c>
      <c r="AR32" s="23">
        <v>0</v>
      </c>
      <c r="AS32" s="23">
        <v>11000</v>
      </c>
      <c r="AT32" s="23">
        <v>0</v>
      </c>
      <c r="AU32" s="23" t="s">
        <v>76</v>
      </c>
      <c r="AW32" s="40">
        <v>2500</v>
      </c>
      <c r="AX32" s="39" t="s">
        <v>76</v>
      </c>
      <c r="AY32" s="103"/>
      <c r="AZ32" s="22"/>
      <c r="BA32" s="22">
        <v>0</v>
      </c>
      <c r="BB32" s="22">
        <v>1500</v>
      </c>
      <c r="BC32" s="22"/>
      <c r="BD32" s="22"/>
      <c r="BE32" s="22"/>
      <c r="BF32" s="110" t="s">
        <v>76</v>
      </c>
      <c r="BG32" s="40" t="s">
        <v>63</v>
      </c>
      <c r="BI32" s="103" t="s">
        <v>77</v>
      </c>
      <c r="BJ32" s="110"/>
      <c r="BS32" s="39" t="s">
        <v>77</v>
      </c>
      <c r="BT32" s="40" t="s">
        <v>90</v>
      </c>
      <c r="BV32" s="23" t="s">
        <v>76</v>
      </c>
      <c r="BX32" s="23" t="s">
        <v>77</v>
      </c>
      <c r="BZ32" s="39" t="s">
        <v>77</v>
      </c>
    </row>
    <row r="33" spans="1:78" x14ac:dyDescent="0.25">
      <c r="A33">
        <v>1115</v>
      </c>
      <c r="B33" t="s">
        <v>59</v>
      </c>
      <c r="C33" t="s">
        <v>24</v>
      </c>
      <c r="D33" t="s">
        <v>210</v>
      </c>
      <c r="E33" s="40">
        <v>64820</v>
      </c>
      <c r="F33" s="39">
        <v>58640</v>
      </c>
      <c r="G33">
        <f t="shared" si="0"/>
        <v>58640</v>
      </c>
      <c r="H33" s="5">
        <v>10</v>
      </c>
      <c r="I33" s="2">
        <v>85</v>
      </c>
      <c r="J33" s="2">
        <v>0</v>
      </c>
      <c r="K33" s="2">
        <v>5</v>
      </c>
      <c r="L33" s="2">
        <v>5864</v>
      </c>
      <c r="M33" s="2">
        <v>49844</v>
      </c>
      <c r="N33" s="2">
        <v>0</v>
      </c>
      <c r="O33" s="6">
        <v>2932</v>
      </c>
      <c r="P33" s="185"/>
      <c r="Q33" s="23">
        <v>26</v>
      </c>
      <c r="T33" s="23" t="s">
        <v>64</v>
      </c>
      <c r="U33" s="23" t="s">
        <v>64</v>
      </c>
      <c r="W33" s="40">
        <v>25</v>
      </c>
      <c r="X33" s="23">
        <v>10</v>
      </c>
      <c r="Y33" s="23">
        <v>20</v>
      </c>
      <c r="Z33" s="23">
        <v>5</v>
      </c>
      <c r="AA33" s="23">
        <v>20</v>
      </c>
      <c r="AB33" s="23">
        <v>20</v>
      </c>
      <c r="AC33" s="23">
        <v>1466</v>
      </c>
      <c r="AD33" s="23">
        <v>586.4</v>
      </c>
      <c r="AE33" s="23">
        <v>1172.8</v>
      </c>
      <c r="AF33" s="23">
        <v>293.2</v>
      </c>
      <c r="AG33" s="23">
        <v>1172.8</v>
      </c>
      <c r="AH33" s="23">
        <v>1172.8</v>
      </c>
      <c r="AJ33" s="101" t="s">
        <v>63</v>
      </c>
      <c r="AK33" s="98"/>
      <c r="AL33" s="99"/>
      <c r="AM33" s="99"/>
      <c r="AN33" s="99"/>
      <c r="AO33" s="99"/>
      <c r="AP33" s="99"/>
      <c r="AQ33" s="99"/>
      <c r="AR33" s="99"/>
      <c r="AS33" s="99"/>
      <c r="AT33" s="99"/>
      <c r="AU33" s="99" t="s">
        <v>77</v>
      </c>
      <c r="AX33" s="39" t="s">
        <v>77</v>
      </c>
      <c r="AY33" s="103"/>
      <c r="AZ33" s="22"/>
      <c r="BA33" s="22"/>
      <c r="BB33" s="22"/>
      <c r="BC33" s="22"/>
      <c r="BD33" s="22"/>
      <c r="BE33" s="22"/>
      <c r="BF33" s="110" t="s">
        <v>77</v>
      </c>
      <c r="BG33" s="40" t="s">
        <v>77</v>
      </c>
      <c r="BI33" s="103" t="s">
        <v>77</v>
      </c>
      <c r="BJ33" s="110"/>
      <c r="BS33" s="39" t="s">
        <v>77</v>
      </c>
      <c r="BT33" s="40" t="s">
        <v>63</v>
      </c>
      <c r="BV33" s="23" t="s">
        <v>76</v>
      </c>
      <c r="BX33" s="23" t="s">
        <v>77</v>
      </c>
      <c r="BZ33" s="39" t="s">
        <v>77</v>
      </c>
    </row>
    <row r="34" spans="1:78" x14ac:dyDescent="0.25">
      <c r="A34">
        <v>1134</v>
      </c>
      <c r="B34" t="s">
        <v>58</v>
      </c>
      <c r="C34" t="s">
        <v>25</v>
      </c>
      <c r="D34" t="s">
        <v>210</v>
      </c>
      <c r="E34" s="40">
        <v>400000</v>
      </c>
      <c r="F34" s="39">
        <v>320000</v>
      </c>
      <c r="G34">
        <f t="shared" si="0"/>
        <v>320000</v>
      </c>
      <c r="H34" s="5">
        <v>8</v>
      </c>
      <c r="I34" s="2">
        <v>92</v>
      </c>
      <c r="J34" s="2">
        <v>0</v>
      </c>
      <c r="K34" s="2">
        <v>0</v>
      </c>
      <c r="L34" s="2">
        <v>25600</v>
      </c>
      <c r="M34" s="2">
        <v>294400</v>
      </c>
      <c r="N34" s="2">
        <v>0</v>
      </c>
      <c r="O34" s="6">
        <v>0</v>
      </c>
      <c r="P34" s="185"/>
      <c r="Q34" s="23">
        <v>35</v>
      </c>
      <c r="T34" s="23" t="s">
        <v>89</v>
      </c>
      <c r="U34" s="23" t="s">
        <v>89</v>
      </c>
      <c r="W34" s="40">
        <v>5</v>
      </c>
      <c r="X34" s="23">
        <v>5</v>
      </c>
      <c r="Y34" s="23">
        <v>50</v>
      </c>
      <c r="Z34" s="23">
        <v>5</v>
      </c>
      <c r="AA34" s="23">
        <v>25</v>
      </c>
      <c r="AB34" s="23">
        <v>10</v>
      </c>
      <c r="AC34" s="23">
        <v>1280</v>
      </c>
      <c r="AD34" s="23">
        <v>1280</v>
      </c>
      <c r="AE34" s="23">
        <v>12800</v>
      </c>
      <c r="AF34" s="23">
        <v>1280</v>
      </c>
      <c r="AG34" s="23">
        <v>6400</v>
      </c>
      <c r="AH34" s="23">
        <v>2560</v>
      </c>
      <c r="AJ34" s="101" t="s">
        <v>63</v>
      </c>
      <c r="AK34" s="98"/>
      <c r="AL34" s="99"/>
      <c r="AM34" s="99"/>
      <c r="AN34" s="99"/>
      <c r="AO34" s="99"/>
      <c r="AP34" s="99"/>
      <c r="AQ34" s="99"/>
      <c r="AR34" s="99"/>
      <c r="AS34" s="99"/>
      <c r="AT34" s="99"/>
      <c r="AU34" s="99" t="s">
        <v>77</v>
      </c>
      <c r="AX34" s="39" t="s">
        <v>77</v>
      </c>
      <c r="AY34" s="103"/>
      <c r="AZ34" s="22"/>
      <c r="BA34" s="22"/>
      <c r="BB34" s="22"/>
      <c r="BC34" s="22"/>
      <c r="BD34" s="22"/>
      <c r="BE34" s="22"/>
      <c r="BF34" s="110" t="s">
        <v>77</v>
      </c>
      <c r="BG34" s="40" t="s">
        <v>77</v>
      </c>
      <c r="BI34" s="103" t="s">
        <v>77</v>
      </c>
      <c r="BJ34" s="110"/>
      <c r="BS34" s="39" t="s">
        <v>77</v>
      </c>
      <c r="BT34" s="40" t="s">
        <v>89</v>
      </c>
      <c r="BV34" s="23" t="s">
        <v>76</v>
      </c>
      <c r="BX34" s="23" t="s">
        <v>77</v>
      </c>
      <c r="BZ34" s="39" t="s">
        <v>77</v>
      </c>
    </row>
    <row r="35" spans="1:78" x14ac:dyDescent="0.25">
      <c r="A35">
        <v>1150</v>
      </c>
      <c r="B35" t="s">
        <v>59</v>
      </c>
      <c r="C35" t="s">
        <v>26</v>
      </c>
      <c r="D35" t="s">
        <v>213</v>
      </c>
      <c r="E35" s="40">
        <v>40000</v>
      </c>
      <c r="F35" s="39">
        <v>41516</v>
      </c>
      <c r="G35">
        <f t="shared" si="0"/>
        <v>41516</v>
      </c>
      <c r="H35" s="5">
        <v>1.3275981095002922</v>
      </c>
      <c r="I35" s="2">
        <v>90.574053422547934</v>
      </c>
      <c r="J35" s="2">
        <v>1.7391535234453828</v>
      </c>
      <c r="K35" s="2">
        <v>6.3591949445063998</v>
      </c>
      <c r="L35" s="2">
        <v>551.16563114014139</v>
      </c>
      <c r="M35" s="2">
        <v>37602.724018904999</v>
      </c>
      <c r="N35" s="2">
        <v>722.02697679358505</v>
      </c>
      <c r="O35" s="6">
        <v>2640.0833731612765</v>
      </c>
      <c r="P35" s="185"/>
      <c r="Q35" s="23">
        <v>72</v>
      </c>
      <c r="R35" s="23">
        <v>25</v>
      </c>
      <c r="S35" s="23">
        <v>50</v>
      </c>
      <c r="T35" s="23" t="s">
        <v>89</v>
      </c>
      <c r="U35" s="23" t="s">
        <v>89</v>
      </c>
      <c r="W35" s="40">
        <v>10</v>
      </c>
      <c r="X35" s="23">
        <v>10</v>
      </c>
      <c r="Y35" s="23">
        <v>60</v>
      </c>
      <c r="Z35" s="23">
        <v>20</v>
      </c>
      <c r="AA35" s="23">
        <v>0</v>
      </c>
      <c r="AB35" s="23">
        <v>0</v>
      </c>
      <c r="AC35" s="23">
        <v>55.116563114014134</v>
      </c>
      <c r="AD35" s="23">
        <v>55.116563114014134</v>
      </c>
      <c r="AE35" s="23">
        <v>330.69937868408482</v>
      </c>
      <c r="AF35" s="23">
        <v>110.23312622802827</v>
      </c>
      <c r="AG35" s="23">
        <v>0</v>
      </c>
      <c r="AH35" s="23">
        <v>0</v>
      </c>
      <c r="AJ35" s="101" t="s">
        <v>64</v>
      </c>
      <c r="AK35" s="40">
        <v>0</v>
      </c>
      <c r="AL35" s="23">
        <v>9.1603053435114496</v>
      </c>
      <c r="AM35" s="23">
        <v>30.534351145038169</v>
      </c>
      <c r="AN35" s="23">
        <v>44.580152671755727</v>
      </c>
      <c r="AO35" s="23">
        <v>15.725190839694655</v>
      </c>
      <c r="AP35" s="23">
        <v>0</v>
      </c>
      <c r="AQ35" s="23">
        <v>66.139875736816947</v>
      </c>
      <c r="AR35" s="23">
        <v>220.46625245605651</v>
      </c>
      <c r="AS35" s="23">
        <v>321.88072858584252</v>
      </c>
      <c r="AT35" s="23">
        <v>113.54012001486909</v>
      </c>
      <c r="AU35" s="23" t="s">
        <v>76</v>
      </c>
      <c r="AW35" s="40">
        <v>0</v>
      </c>
      <c r="AX35" s="39" t="s">
        <v>118</v>
      </c>
      <c r="AY35" s="103"/>
      <c r="AZ35" s="22"/>
      <c r="BA35" s="22"/>
      <c r="BB35" s="22"/>
      <c r="BC35" s="22"/>
      <c r="BD35" s="22"/>
      <c r="BE35" s="22"/>
      <c r="BF35" s="110" t="s">
        <v>77</v>
      </c>
      <c r="BG35" s="40" t="s">
        <v>158</v>
      </c>
      <c r="BH35" s="39" t="s">
        <v>233</v>
      </c>
      <c r="BI35" s="103" t="s">
        <v>89</v>
      </c>
      <c r="BJ35" s="110">
        <v>0</v>
      </c>
      <c r="BR35" s="23" t="s">
        <v>64</v>
      </c>
      <c r="BS35" s="39" t="s">
        <v>65</v>
      </c>
      <c r="BT35" s="40" t="s">
        <v>89</v>
      </c>
      <c r="BU35" s="23">
        <v>363</v>
      </c>
      <c r="BV35" s="23" t="s">
        <v>76</v>
      </c>
      <c r="BW35" s="23">
        <v>363</v>
      </c>
      <c r="BX35" s="23" t="s">
        <v>76</v>
      </c>
      <c r="BY35" s="23">
        <v>100</v>
      </c>
      <c r="BZ35" s="39" t="s">
        <v>76</v>
      </c>
    </row>
    <row r="36" spans="1:78" x14ac:dyDescent="0.25">
      <c r="A36">
        <v>1158</v>
      </c>
      <c r="B36" t="s">
        <v>61</v>
      </c>
      <c r="C36" t="s">
        <v>26</v>
      </c>
      <c r="D36" t="s">
        <v>213</v>
      </c>
      <c r="E36" s="40">
        <v>11000</v>
      </c>
      <c r="F36" s="39">
        <v>10500</v>
      </c>
      <c r="G36">
        <f t="shared" si="0"/>
        <v>10500.000000000002</v>
      </c>
      <c r="H36" s="5">
        <v>1.6853932584269662</v>
      </c>
      <c r="I36" s="2">
        <v>25.280898876404496</v>
      </c>
      <c r="J36" s="2">
        <v>39.325842696629216</v>
      </c>
      <c r="K36" s="2">
        <v>33.707865168539328</v>
      </c>
      <c r="L36" s="2">
        <v>176.96629213483146</v>
      </c>
      <c r="M36" s="2">
        <v>2654.4943820224721</v>
      </c>
      <c r="N36" s="2">
        <v>4129.213483146068</v>
      </c>
      <c r="O36" s="6">
        <v>3539.3258426966299</v>
      </c>
      <c r="P36" s="185"/>
      <c r="Q36" s="23">
        <v>79.5</v>
      </c>
      <c r="R36" s="23">
        <v>25</v>
      </c>
      <c r="T36" s="23" t="s">
        <v>89</v>
      </c>
      <c r="U36" s="23" t="s">
        <v>77</v>
      </c>
      <c r="W36" s="98"/>
      <c r="X36" s="99"/>
      <c r="Y36" s="99"/>
      <c r="Z36" s="99"/>
      <c r="AA36" s="99"/>
      <c r="AB36" s="99"/>
      <c r="AC36" s="99"/>
      <c r="AD36" s="99"/>
      <c r="AE36" s="99"/>
      <c r="AF36" s="99"/>
      <c r="AG36" s="99"/>
      <c r="AH36" s="99"/>
      <c r="AI36" s="99"/>
      <c r="AJ36" s="101" t="s">
        <v>64</v>
      </c>
      <c r="AK36" s="40">
        <v>7.1942446043165464</v>
      </c>
      <c r="AL36" s="23">
        <v>10.791366906474821</v>
      </c>
      <c r="AM36" s="23">
        <v>28.776978417266186</v>
      </c>
      <c r="AN36" s="23">
        <v>50.359712230215827</v>
      </c>
      <c r="AO36" s="23">
        <v>2.8776978417266186</v>
      </c>
      <c r="AP36" s="23">
        <v>294.94382022471916</v>
      </c>
      <c r="AQ36" s="23">
        <v>442.41573033707874</v>
      </c>
      <c r="AR36" s="23">
        <v>1179.7752808988766</v>
      </c>
      <c r="AS36" s="23">
        <v>2064.606741573034</v>
      </c>
      <c r="AT36" s="23">
        <v>117.97752808988766</v>
      </c>
      <c r="AU36" s="23" t="s">
        <v>76</v>
      </c>
      <c r="AW36" s="40">
        <v>10</v>
      </c>
      <c r="AX36" s="39" t="s">
        <v>76</v>
      </c>
      <c r="AY36" s="103"/>
      <c r="AZ36" s="22"/>
      <c r="BA36" s="22"/>
      <c r="BB36" s="22"/>
      <c r="BC36" s="22"/>
      <c r="BD36" s="22"/>
      <c r="BE36" s="22"/>
      <c r="BF36" s="110" t="s">
        <v>77</v>
      </c>
      <c r="BG36" s="40" t="s">
        <v>158</v>
      </c>
      <c r="BH36" s="39" t="s">
        <v>248</v>
      </c>
      <c r="BI36" s="103" t="s">
        <v>89</v>
      </c>
      <c r="BJ36" s="110">
        <v>2</v>
      </c>
      <c r="BS36" s="39" t="s">
        <v>77</v>
      </c>
      <c r="BT36" s="40" t="s">
        <v>89</v>
      </c>
      <c r="BU36" s="23">
        <v>5600</v>
      </c>
      <c r="BV36" s="23" t="s">
        <v>76</v>
      </c>
      <c r="BW36" s="23">
        <v>5600</v>
      </c>
      <c r="BX36" s="23" t="s">
        <v>76</v>
      </c>
      <c r="BY36" s="23">
        <v>7</v>
      </c>
      <c r="BZ36" s="39" t="s">
        <v>76</v>
      </c>
    </row>
    <row r="37" spans="1:78" x14ac:dyDescent="0.25">
      <c r="A37">
        <v>1184</v>
      </c>
      <c r="B37" t="s">
        <v>58</v>
      </c>
      <c r="C37" t="s">
        <v>27</v>
      </c>
      <c r="D37" t="s">
        <v>210</v>
      </c>
      <c r="E37" s="40">
        <v>570500</v>
      </c>
      <c r="F37" s="39">
        <v>175544</v>
      </c>
      <c r="G37">
        <f t="shared" si="0"/>
        <v>175544.00000000003</v>
      </c>
      <c r="H37" s="5">
        <v>0</v>
      </c>
      <c r="I37" s="2">
        <v>77.813584526587519</v>
      </c>
      <c r="J37" s="2">
        <v>7.2145176024422346</v>
      </c>
      <c r="K37" s="2">
        <v>14.971897870970253</v>
      </c>
      <c r="L37" s="2">
        <v>0</v>
      </c>
      <c r="M37" s="2">
        <v>136597.0788213528</v>
      </c>
      <c r="N37" s="2">
        <v>12664.652780031196</v>
      </c>
      <c r="O37" s="6">
        <v>26282.268398616023</v>
      </c>
      <c r="P37" s="185"/>
      <c r="Q37" s="23">
        <v>75</v>
      </c>
      <c r="R37" s="23">
        <v>75</v>
      </c>
      <c r="S37" s="23">
        <v>75</v>
      </c>
      <c r="T37" s="23" t="s">
        <v>89</v>
      </c>
      <c r="U37" s="23" t="s">
        <v>90</v>
      </c>
      <c r="V37" s="39" t="s">
        <v>95</v>
      </c>
      <c r="W37" s="98"/>
      <c r="X37" s="99"/>
      <c r="Y37" s="99"/>
      <c r="Z37" s="99"/>
      <c r="AA37" s="99"/>
      <c r="AB37" s="99"/>
      <c r="AC37" s="99"/>
      <c r="AD37" s="99"/>
      <c r="AE37" s="99"/>
      <c r="AF37" s="99"/>
      <c r="AG37" s="99"/>
      <c r="AH37" s="99"/>
      <c r="AI37" s="99"/>
      <c r="AJ37" s="101" t="s">
        <v>64</v>
      </c>
      <c r="AK37" s="40">
        <v>3</v>
      </c>
      <c r="AL37" s="23">
        <v>1</v>
      </c>
      <c r="AM37" s="23">
        <v>0</v>
      </c>
      <c r="AN37" s="23">
        <v>96</v>
      </c>
      <c r="AO37" s="23">
        <v>0</v>
      </c>
      <c r="AP37" s="23">
        <v>379.93958340093587</v>
      </c>
      <c r="AQ37" s="23">
        <v>126.64652780031196</v>
      </c>
      <c r="AR37" s="23">
        <v>0</v>
      </c>
      <c r="AS37" s="23">
        <v>12158.066668829948</v>
      </c>
      <c r="AT37" s="23">
        <v>0</v>
      </c>
      <c r="AU37" s="23" t="s">
        <v>76</v>
      </c>
      <c r="AV37" s="39" t="s">
        <v>64</v>
      </c>
      <c r="AW37" s="40">
        <v>4380.38</v>
      </c>
      <c r="AX37" s="39" t="s">
        <v>76</v>
      </c>
      <c r="AY37" s="103"/>
      <c r="AZ37" s="22"/>
      <c r="BA37" s="22"/>
      <c r="BB37" s="22"/>
      <c r="BC37" s="22"/>
      <c r="BD37" s="22"/>
      <c r="BE37" s="22" t="s">
        <v>64</v>
      </c>
      <c r="BF37" s="110" t="s">
        <v>76</v>
      </c>
      <c r="BG37" s="40" t="s">
        <v>63</v>
      </c>
      <c r="BI37" s="103" t="s">
        <v>77</v>
      </c>
      <c r="BJ37" s="110"/>
      <c r="BS37" s="39" t="s">
        <v>77</v>
      </c>
      <c r="BT37" s="40" t="s">
        <v>90</v>
      </c>
      <c r="BV37" s="23" t="s">
        <v>76</v>
      </c>
      <c r="BX37" s="23" t="s">
        <v>77</v>
      </c>
      <c r="BZ37" s="39" t="s">
        <v>77</v>
      </c>
    </row>
    <row r="38" spans="1:78" x14ac:dyDescent="0.25">
      <c r="A38">
        <v>1186</v>
      </c>
      <c r="B38" t="s">
        <v>59</v>
      </c>
      <c r="C38" t="s">
        <v>27</v>
      </c>
      <c r="D38" t="s">
        <v>210</v>
      </c>
      <c r="E38" s="40">
        <v>835000</v>
      </c>
      <c r="F38" s="39">
        <v>738141</v>
      </c>
      <c r="G38">
        <f t="shared" si="0"/>
        <v>738141.00000000023</v>
      </c>
      <c r="H38" s="5">
        <v>5</v>
      </c>
      <c r="I38" s="2">
        <v>82.4</v>
      </c>
      <c r="J38" s="2">
        <v>2.9</v>
      </c>
      <c r="K38" s="2">
        <v>9.6999999999999993</v>
      </c>
      <c r="L38" s="2">
        <v>36907.050000000003</v>
      </c>
      <c r="M38" s="2">
        <v>608228.18400000012</v>
      </c>
      <c r="N38" s="2">
        <v>21406.089</v>
      </c>
      <c r="O38" s="6">
        <v>71599.676999999996</v>
      </c>
      <c r="P38" s="185"/>
      <c r="Q38" s="23">
        <v>100</v>
      </c>
      <c r="R38" s="23">
        <v>0</v>
      </c>
      <c r="S38" s="23">
        <v>0</v>
      </c>
      <c r="T38" s="23" t="s">
        <v>89</v>
      </c>
      <c r="U38" s="23" t="s">
        <v>89</v>
      </c>
      <c r="W38" s="98"/>
      <c r="X38" s="99"/>
      <c r="Y38" s="99"/>
      <c r="Z38" s="99"/>
      <c r="AA38" s="99"/>
      <c r="AB38" s="99"/>
      <c r="AC38" s="99"/>
      <c r="AD38" s="99"/>
      <c r="AE38" s="99"/>
      <c r="AF38" s="99"/>
      <c r="AG38" s="99"/>
      <c r="AH38" s="99"/>
      <c r="AI38" s="99"/>
      <c r="AJ38" s="101" t="s">
        <v>64</v>
      </c>
      <c r="AK38" s="40">
        <v>0</v>
      </c>
      <c r="AL38" s="23">
        <v>0</v>
      </c>
      <c r="AM38" s="23">
        <v>0</v>
      </c>
      <c r="AN38" s="23">
        <v>100</v>
      </c>
      <c r="AO38" s="23">
        <v>0</v>
      </c>
      <c r="AP38" s="23">
        <v>0</v>
      </c>
      <c r="AQ38" s="23">
        <v>0</v>
      </c>
      <c r="AR38" s="23">
        <v>0</v>
      </c>
      <c r="AS38" s="23">
        <v>21406.089</v>
      </c>
      <c r="AT38" s="23">
        <v>0</v>
      </c>
      <c r="AU38" s="23" t="s">
        <v>76</v>
      </c>
      <c r="AW38" s="40">
        <v>0</v>
      </c>
      <c r="AX38" s="39" t="s">
        <v>118</v>
      </c>
      <c r="AY38" s="103"/>
      <c r="AZ38" s="22"/>
      <c r="BA38" s="22"/>
      <c r="BB38" s="22"/>
      <c r="BC38" s="22"/>
      <c r="BD38" s="22"/>
      <c r="BE38" s="22" t="s">
        <v>64</v>
      </c>
      <c r="BF38" s="110" t="s">
        <v>76</v>
      </c>
      <c r="BG38" s="40" t="s">
        <v>63</v>
      </c>
      <c r="BI38" s="103" t="s">
        <v>77</v>
      </c>
      <c r="BJ38" s="110"/>
      <c r="BS38" s="39" t="s">
        <v>77</v>
      </c>
      <c r="BT38" s="40" t="s">
        <v>89</v>
      </c>
      <c r="BU38" s="23">
        <v>219209</v>
      </c>
      <c r="BV38" s="23" t="s">
        <v>76</v>
      </c>
      <c r="BW38" s="23">
        <v>219209</v>
      </c>
      <c r="BX38" s="23" t="s">
        <v>76</v>
      </c>
      <c r="BZ38" s="39" t="s">
        <v>77</v>
      </c>
    </row>
    <row r="39" spans="1:78" x14ac:dyDescent="0.25">
      <c r="A39">
        <v>1190</v>
      </c>
      <c r="B39" t="s">
        <v>58</v>
      </c>
      <c r="C39" t="s">
        <v>27</v>
      </c>
      <c r="D39" t="s">
        <v>210</v>
      </c>
      <c r="E39" s="40">
        <v>100000</v>
      </c>
      <c r="F39" s="39">
        <v>103736</v>
      </c>
      <c r="G39">
        <f t="shared" si="0"/>
        <v>103735.99999999999</v>
      </c>
      <c r="H39" s="5">
        <v>4.2482841058070484</v>
      </c>
      <c r="I39" s="2">
        <v>82.488239376879761</v>
      </c>
      <c r="J39" s="2">
        <v>9.2542608159173287</v>
      </c>
      <c r="K39" s="2">
        <v>4.0092157013958509</v>
      </c>
      <c r="L39" s="2">
        <v>4407</v>
      </c>
      <c r="M39" s="2">
        <v>85569.999999999985</v>
      </c>
      <c r="N39" s="2">
        <v>9600</v>
      </c>
      <c r="O39" s="6">
        <v>4159</v>
      </c>
      <c r="P39" s="185"/>
      <c r="Q39" s="23">
        <v>79</v>
      </c>
      <c r="R39" s="23">
        <v>25</v>
      </c>
      <c r="S39" s="23">
        <v>25</v>
      </c>
      <c r="T39" s="23" t="s">
        <v>89</v>
      </c>
      <c r="U39" s="23" t="s">
        <v>89</v>
      </c>
      <c r="W39" s="98"/>
      <c r="X39" s="99"/>
      <c r="Y39" s="99"/>
      <c r="Z39" s="99"/>
      <c r="AA39" s="99"/>
      <c r="AB39" s="99"/>
      <c r="AC39" s="99"/>
      <c r="AD39" s="99"/>
      <c r="AE39" s="99"/>
      <c r="AF39" s="99"/>
      <c r="AG39" s="99"/>
      <c r="AH39" s="99"/>
      <c r="AI39" s="99"/>
      <c r="AJ39" s="101" t="s">
        <v>64</v>
      </c>
      <c r="AK39" s="40">
        <v>0.8</v>
      </c>
      <c r="AL39" s="23">
        <v>0.1</v>
      </c>
      <c r="AM39" s="23">
        <v>0.1</v>
      </c>
      <c r="AN39" s="23">
        <v>99</v>
      </c>
      <c r="AO39" s="23">
        <v>0</v>
      </c>
      <c r="AP39" s="23">
        <v>76.8</v>
      </c>
      <c r="AQ39" s="23">
        <v>9.6</v>
      </c>
      <c r="AR39" s="23">
        <v>9.6</v>
      </c>
      <c r="AS39" s="23">
        <v>9504</v>
      </c>
      <c r="AT39" s="23">
        <v>0</v>
      </c>
      <c r="AU39" s="23" t="s">
        <v>76</v>
      </c>
      <c r="AW39" s="40">
        <v>9500</v>
      </c>
      <c r="AX39" s="39" t="s">
        <v>76</v>
      </c>
      <c r="AY39" s="103">
        <v>25</v>
      </c>
      <c r="AZ39" s="22">
        <v>10</v>
      </c>
      <c r="BA39" s="22">
        <v>5</v>
      </c>
      <c r="BB39" s="22">
        <v>90</v>
      </c>
      <c r="BC39" s="22">
        <v>0</v>
      </c>
      <c r="BD39" s="22">
        <v>0</v>
      </c>
      <c r="BE39" s="22"/>
      <c r="BF39" s="110" t="s">
        <v>76</v>
      </c>
      <c r="BG39" s="40" t="s">
        <v>63</v>
      </c>
      <c r="BI39" s="103" t="s">
        <v>77</v>
      </c>
      <c r="BJ39" s="110"/>
      <c r="BS39" s="39" t="s">
        <v>77</v>
      </c>
      <c r="BT39" s="40" t="s">
        <v>90</v>
      </c>
      <c r="BV39" s="23" t="s">
        <v>76</v>
      </c>
      <c r="BX39" s="23" t="s">
        <v>77</v>
      </c>
      <c r="BZ39" s="39" t="s">
        <v>77</v>
      </c>
    </row>
    <row r="40" spans="1:78" x14ac:dyDescent="0.25">
      <c r="A40">
        <v>1192</v>
      </c>
      <c r="B40" t="s">
        <v>58</v>
      </c>
      <c r="C40" t="s">
        <v>27</v>
      </c>
      <c r="D40" t="s">
        <v>210</v>
      </c>
      <c r="E40" s="40">
        <v>30000</v>
      </c>
      <c r="F40" s="39">
        <v>30000</v>
      </c>
      <c r="H40" s="178"/>
      <c r="I40" s="177"/>
      <c r="J40" s="177"/>
      <c r="K40" s="177"/>
      <c r="L40" s="177"/>
      <c r="M40" s="177"/>
      <c r="N40" s="177"/>
      <c r="O40" s="179"/>
      <c r="P40" s="185"/>
      <c r="T40" s="23" t="s">
        <v>77</v>
      </c>
      <c r="U40" s="23" t="s">
        <v>77</v>
      </c>
      <c r="W40" s="98"/>
      <c r="X40" s="99"/>
      <c r="Y40" s="99"/>
      <c r="Z40" s="99"/>
      <c r="AA40" s="99"/>
      <c r="AB40" s="99"/>
      <c r="AC40" s="99"/>
      <c r="AD40" s="99"/>
      <c r="AE40" s="99"/>
      <c r="AF40" s="99"/>
      <c r="AG40" s="99"/>
      <c r="AH40" s="99"/>
      <c r="AI40" s="99"/>
      <c r="AJ40" s="101" t="s">
        <v>77</v>
      </c>
      <c r="AK40" s="98"/>
      <c r="AL40" s="99"/>
      <c r="AM40" s="99"/>
      <c r="AN40" s="99"/>
      <c r="AO40" s="99"/>
      <c r="AP40" s="99"/>
      <c r="AQ40" s="99"/>
      <c r="AR40" s="99"/>
      <c r="AS40" s="99"/>
      <c r="AT40" s="99"/>
      <c r="AU40" s="99" t="s">
        <v>77</v>
      </c>
      <c r="AX40" s="39" t="s">
        <v>77</v>
      </c>
      <c r="AY40" s="121"/>
      <c r="AZ40" s="25"/>
      <c r="BA40" s="25"/>
      <c r="BB40" s="25"/>
      <c r="BC40" s="25"/>
      <c r="BD40" s="25"/>
      <c r="BE40" s="22"/>
      <c r="BF40" s="110" t="s">
        <v>77</v>
      </c>
      <c r="BG40" s="40" t="s">
        <v>77</v>
      </c>
      <c r="BI40" s="103" t="s">
        <v>77</v>
      </c>
      <c r="BJ40" s="110"/>
      <c r="BS40" s="39" t="s">
        <v>77</v>
      </c>
      <c r="BT40" s="40" t="s">
        <v>77</v>
      </c>
      <c r="BV40" s="23" t="s">
        <v>201</v>
      </c>
      <c r="BX40" s="23" t="s">
        <v>77</v>
      </c>
      <c r="BZ40" s="39" t="s">
        <v>77</v>
      </c>
    </row>
    <row r="41" spans="1:78" x14ac:dyDescent="0.25">
      <c r="A41">
        <v>1194</v>
      </c>
      <c r="B41" t="s">
        <v>59</v>
      </c>
      <c r="C41" t="s">
        <v>27</v>
      </c>
      <c r="D41" t="s">
        <v>210</v>
      </c>
      <c r="E41" s="40">
        <v>270000</v>
      </c>
      <c r="F41" s="39">
        <v>90000</v>
      </c>
      <c r="G41">
        <f t="shared" si="0"/>
        <v>90000</v>
      </c>
      <c r="H41" s="5">
        <v>3.3333333333333335</v>
      </c>
      <c r="I41" s="2">
        <v>53.333333333333336</v>
      </c>
      <c r="J41" s="2">
        <v>18.888888888888889</v>
      </c>
      <c r="K41" s="2">
        <v>24.444444444444443</v>
      </c>
      <c r="L41" s="2">
        <v>3000</v>
      </c>
      <c r="M41" s="2">
        <v>48000</v>
      </c>
      <c r="N41" s="2">
        <v>17000</v>
      </c>
      <c r="O41" s="6">
        <v>22000</v>
      </c>
      <c r="P41" s="185"/>
      <c r="Q41" s="23">
        <v>80</v>
      </c>
      <c r="R41" s="23">
        <v>30</v>
      </c>
      <c r="S41" s="23">
        <v>30</v>
      </c>
      <c r="T41" s="23" t="s">
        <v>64</v>
      </c>
      <c r="U41" s="23" t="s">
        <v>64</v>
      </c>
      <c r="W41" s="40">
        <v>5</v>
      </c>
      <c r="X41" s="23">
        <v>5</v>
      </c>
      <c r="Y41" s="23">
        <v>30</v>
      </c>
      <c r="Z41" s="23">
        <v>30</v>
      </c>
      <c r="AA41" s="23">
        <v>0</v>
      </c>
      <c r="AB41" s="23">
        <v>30</v>
      </c>
      <c r="AC41" s="23">
        <v>150</v>
      </c>
      <c r="AD41" s="23">
        <v>150</v>
      </c>
      <c r="AE41" s="23">
        <v>900</v>
      </c>
      <c r="AF41" s="23">
        <v>900</v>
      </c>
      <c r="AG41" s="23">
        <v>0</v>
      </c>
      <c r="AH41" s="23">
        <v>900</v>
      </c>
      <c r="AJ41" s="101" t="s">
        <v>64</v>
      </c>
      <c r="AK41" s="40">
        <v>15</v>
      </c>
      <c r="AL41" s="23">
        <v>0</v>
      </c>
      <c r="AM41" s="23">
        <v>0</v>
      </c>
      <c r="AN41" s="23">
        <v>85</v>
      </c>
      <c r="AO41" s="23">
        <v>0</v>
      </c>
      <c r="AP41" s="23">
        <v>2550</v>
      </c>
      <c r="AQ41" s="23">
        <v>0</v>
      </c>
      <c r="AR41" s="23">
        <v>0</v>
      </c>
      <c r="AS41" s="23">
        <v>14450</v>
      </c>
      <c r="AT41" s="23">
        <v>0</v>
      </c>
      <c r="AU41" s="23" t="s">
        <v>76</v>
      </c>
      <c r="AW41" s="40">
        <v>0</v>
      </c>
      <c r="AX41" s="39" t="s">
        <v>118</v>
      </c>
      <c r="AY41" s="103">
        <f>7.6*12</f>
        <v>91.199999999999989</v>
      </c>
      <c r="AZ41" s="22"/>
      <c r="BA41" s="22">
        <f>21*7.6</f>
        <v>159.6</v>
      </c>
      <c r="BB41" s="22"/>
      <c r="BC41" s="22"/>
      <c r="BD41" s="22"/>
      <c r="BE41" s="22"/>
      <c r="BF41" s="110" t="s">
        <v>118</v>
      </c>
      <c r="BG41" s="40" t="s">
        <v>63</v>
      </c>
      <c r="BI41" s="103" t="s">
        <v>89</v>
      </c>
      <c r="BJ41" s="110">
        <v>0</v>
      </c>
      <c r="BS41" s="39" t="s">
        <v>77</v>
      </c>
      <c r="BT41" s="40" t="s">
        <v>77</v>
      </c>
      <c r="BV41" s="23" t="s">
        <v>201</v>
      </c>
      <c r="BX41" s="23" t="s">
        <v>77</v>
      </c>
      <c r="BZ41" s="39" t="s">
        <v>77</v>
      </c>
    </row>
    <row r="42" spans="1:78" x14ac:dyDescent="0.25">
      <c r="A42">
        <v>1196</v>
      </c>
      <c r="B42" t="s">
        <v>59</v>
      </c>
      <c r="C42" t="s">
        <v>27</v>
      </c>
      <c r="D42" t="s">
        <v>210</v>
      </c>
      <c r="E42" s="40">
        <v>150000</v>
      </c>
      <c r="F42" s="39">
        <v>99000</v>
      </c>
      <c r="G42">
        <f t="shared" si="0"/>
        <v>99000.000000000015</v>
      </c>
      <c r="H42" s="5">
        <v>0</v>
      </c>
      <c r="I42" s="2">
        <v>93.548387096774192</v>
      </c>
      <c r="J42" s="2">
        <v>4.838709677419355</v>
      </c>
      <c r="K42" s="2">
        <v>1.6129032258064515</v>
      </c>
      <c r="L42" s="2">
        <v>0</v>
      </c>
      <c r="M42" s="2">
        <v>92612.903225806454</v>
      </c>
      <c r="N42" s="2">
        <v>4790.322580645161</v>
      </c>
      <c r="O42" s="6">
        <v>1596.7741935483871</v>
      </c>
      <c r="P42" s="185"/>
      <c r="Q42" s="23">
        <v>52</v>
      </c>
      <c r="R42" s="23">
        <v>63</v>
      </c>
      <c r="S42" s="23">
        <v>75</v>
      </c>
      <c r="T42" s="23" t="s">
        <v>63</v>
      </c>
      <c r="U42" s="23" t="s">
        <v>63</v>
      </c>
      <c r="W42" s="98"/>
      <c r="X42" s="99"/>
      <c r="Y42" s="99"/>
      <c r="Z42" s="99"/>
      <c r="AA42" s="99"/>
      <c r="AB42" s="99"/>
      <c r="AC42" s="99"/>
      <c r="AD42" s="99"/>
      <c r="AE42" s="99"/>
      <c r="AF42" s="99"/>
      <c r="AG42" s="99"/>
      <c r="AH42" s="99"/>
      <c r="AI42" s="99"/>
      <c r="AJ42" s="101" t="s">
        <v>64</v>
      </c>
      <c r="AK42" s="40">
        <v>0</v>
      </c>
      <c r="AL42" s="23">
        <v>0</v>
      </c>
      <c r="AM42" s="23">
        <v>0</v>
      </c>
      <c r="AN42" s="23">
        <v>0</v>
      </c>
      <c r="AO42" s="23">
        <v>100</v>
      </c>
      <c r="AP42" s="23">
        <v>0</v>
      </c>
      <c r="AQ42" s="23">
        <v>0</v>
      </c>
      <c r="AR42" s="23">
        <v>0</v>
      </c>
      <c r="AS42" s="23">
        <v>0</v>
      </c>
      <c r="AT42" s="23">
        <v>4790.322580645161</v>
      </c>
      <c r="AU42" s="23" t="s">
        <v>76</v>
      </c>
      <c r="AW42" s="40">
        <v>0</v>
      </c>
      <c r="AX42" s="39" t="s">
        <v>118</v>
      </c>
      <c r="AY42" s="103">
        <v>20</v>
      </c>
      <c r="AZ42" s="22">
        <v>667</v>
      </c>
      <c r="BA42" s="22">
        <v>20</v>
      </c>
      <c r="BB42" s="22">
        <v>667</v>
      </c>
      <c r="BC42" s="22">
        <v>20</v>
      </c>
      <c r="BD42" s="22">
        <v>667</v>
      </c>
      <c r="BE42" s="22"/>
      <c r="BF42" s="110" t="s">
        <v>76</v>
      </c>
      <c r="BG42" s="40" t="s">
        <v>159</v>
      </c>
      <c r="BI42" s="103" t="s">
        <v>89</v>
      </c>
      <c r="BJ42" s="110">
        <v>0</v>
      </c>
      <c r="BR42" s="23" t="s">
        <v>64</v>
      </c>
      <c r="BS42" s="39" t="s">
        <v>76</v>
      </c>
      <c r="BT42" s="40" t="s">
        <v>90</v>
      </c>
      <c r="BV42" s="23" t="s">
        <v>76</v>
      </c>
      <c r="BX42" s="23" t="s">
        <v>77</v>
      </c>
      <c r="BZ42" s="39" t="s">
        <v>77</v>
      </c>
    </row>
    <row r="43" spans="1:78" x14ac:dyDescent="0.25">
      <c r="A43">
        <v>1200</v>
      </c>
      <c r="B43" t="s">
        <v>59</v>
      </c>
      <c r="C43" t="s">
        <v>28</v>
      </c>
      <c r="D43" t="s">
        <v>213</v>
      </c>
      <c r="E43" s="40">
        <v>30000</v>
      </c>
      <c r="F43" s="39">
        <v>216000</v>
      </c>
      <c r="G43">
        <f t="shared" si="0"/>
        <v>216000.00000000003</v>
      </c>
      <c r="H43" s="5">
        <v>0</v>
      </c>
      <c r="I43" s="2">
        <v>84.019054179636981</v>
      </c>
      <c r="J43" s="2">
        <v>0.75904781091391171</v>
      </c>
      <c r="K43" s="2">
        <v>15.221898009449106</v>
      </c>
      <c r="L43" s="2">
        <v>0</v>
      </c>
      <c r="M43" s="2">
        <v>181481.15702801591</v>
      </c>
      <c r="N43" s="2">
        <v>1639.5432715740494</v>
      </c>
      <c r="O43" s="6">
        <v>32879.299700410069</v>
      </c>
      <c r="P43" s="185"/>
      <c r="Q43" s="23">
        <v>58</v>
      </c>
      <c r="R43" s="23">
        <v>10</v>
      </c>
      <c r="S43" s="23">
        <v>110</v>
      </c>
      <c r="T43" s="23" t="s">
        <v>63</v>
      </c>
      <c r="U43" s="23" t="s">
        <v>77</v>
      </c>
      <c r="W43" s="98"/>
      <c r="X43" s="99"/>
      <c r="Y43" s="99"/>
      <c r="Z43" s="99"/>
      <c r="AA43" s="99"/>
      <c r="AB43" s="99"/>
      <c r="AC43" s="99"/>
      <c r="AD43" s="99"/>
      <c r="AE43" s="99"/>
      <c r="AF43" s="99"/>
      <c r="AG43" s="99"/>
      <c r="AH43" s="99"/>
      <c r="AI43" s="99"/>
      <c r="AJ43" s="101" t="s">
        <v>64</v>
      </c>
      <c r="AK43" s="40">
        <v>0</v>
      </c>
      <c r="AL43" s="23">
        <v>0</v>
      </c>
      <c r="AM43" s="23">
        <v>0</v>
      </c>
      <c r="AN43" s="23">
        <v>100</v>
      </c>
      <c r="AO43" s="23">
        <v>0</v>
      </c>
      <c r="AP43" s="23">
        <v>0</v>
      </c>
      <c r="AQ43" s="23">
        <v>0</v>
      </c>
      <c r="AR43" s="23">
        <v>0</v>
      </c>
      <c r="AS43" s="23">
        <v>1639.5432715740494</v>
      </c>
      <c r="AT43" s="23">
        <v>0</v>
      </c>
      <c r="AU43" s="23" t="s">
        <v>76</v>
      </c>
      <c r="AW43" s="40">
        <v>0</v>
      </c>
      <c r="AX43" s="39" t="s">
        <v>118</v>
      </c>
      <c r="AY43" s="103">
        <v>0</v>
      </c>
      <c r="AZ43" s="22">
        <v>0</v>
      </c>
      <c r="BA43" s="22"/>
      <c r="BB43" s="22"/>
      <c r="BC43" s="22"/>
      <c r="BD43" s="22"/>
      <c r="BE43" s="22"/>
      <c r="BF43" s="110" t="s">
        <v>77</v>
      </c>
      <c r="BG43" s="40" t="s">
        <v>63</v>
      </c>
      <c r="BI43" s="103" t="s">
        <v>77</v>
      </c>
      <c r="BJ43" s="110"/>
      <c r="BS43" s="39" t="s">
        <v>77</v>
      </c>
      <c r="BT43" s="40" t="s">
        <v>77</v>
      </c>
      <c r="BV43" s="23" t="s">
        <v>201</v>
      </c>
      <c r="BX43" s="23" t="s">
        <v>77</v>
      </c>
      <c r="BZ43" s="39" t="s">
        <v>77</v>
      </c>
    </row>
    <row r="44" spans="1:78" x14ac:dyDescent="0.25">
      <c r="A44">
        <v>1202</v>
      </c>
      <c r="B44" t="s">
        <v>58</v>
      </c>
      <c r="C44" t="s">
        <v>28</v>
      </c>
      <c r="D44" t="s">
        <v>213</v>
      </c>
      <c r="E44" s="40">
        <v>130000</v>
      </c>
      <c r="F44" s="39">
        <v>92527.32</v>
      </c>
      <c r="G44">
        <f t="shared" si="0"/>
        <v>92527.32</v>
      </c>
      <c r="H44" s="5">
        <v>0</v>
      </c>
      <c r="I44" s="2">
        <v>100</v>
      </c>
      <c r="J44" s="2">
        <v>0</v>
      </c>
      <c r="K44" s="2">
        <v>0</v>
      </c>
      <c r="L44" s="2">
        <v>0</v>
      </c>
      <c r="M44" s="2">
        <v>92527.32</v>
      </c>
      <c r="N44" s="2">
        <v>0</v>
      </c>
      <c r="O44" s="6">
        <v>0</v>
      </c>
      <c r="P44" s="185"/>
      <c r="Q44" s="23">
        <v>68</v>
      </c>
      <c r="T44" s="23" t="s">
        <v>90</v>
      </c>
      <c r="U44" s="23" t="s">
        <v>77</v>
      </c>
      <c r="W44" s="98"/>
      <c r="X44" s="99"/>
      <c r="Y44" s="99"/>
      <c r="Z44" s="99"/>
      <c r="AA44" s="99"/>
      <c r="AB44" s="99"/>
      <c r="AC44" s="99"/>
      <c r="AD44" s="99"/>
      <c r="AE44" s="99"/>
      <c r="AF44" s="99"/>
      <c r="AG44" s="99"/>
      <c r="AH44" s="99"/>
      <c r="AI44" s="99"/>
      <c r="AJ44" s="101" t="s">
        <v>64</v>
      </c>
      <c r="AK44" s="98"/>
      <c r="AL44" s="99"/>
      <c r="AM44" s="99"/>
      <c r="AN44" s="99"/>
      <c r="AO44" s="99"/>
      <c r="AP44" s="99"/>
      <c r="AQ44" s="99"/>
      <c r="AR44" s="99"/>
      <c r="AS44" s="99"/>
      <c r="AT44" s="99"/>
      <c r="AU44" s="99" t="s">
        <v>77</v>
      </c>
      <c r="AW44" s="40">
        <v>0</v>
      </c>
      <c r="AX44" s="39" t="s">
        <v>118</v>
      </c>
      <c r="AY44" s="103"/>
      <c r="AZ44" s="22"/>
      <c r="BA44" s="22"/>
      <c r="BB44" s="22"/>
      <c r="BC44" s="22"/>
      <c r="BD44" s="22"/>
      <c r="BE44" s="22"/>
      <c r="BF44" s="110" t="s">
        <v>77</v>
      </c>
      <c r="BG44" s="40" t="s">
        <v>63</v>
      </c>
      <c r="BI44" s="103" t="s">
        <v>77</v>
      </c>
      <c r="BJ44" s="110"/>
      <c r="BS44" s="39" t="s">
        <v>77</v>
      </c>
      <c r="BT44" s="40" t="s">
        <v>90</v>
      </c>
      <c r="BV44" s="23" t="s">
        <v>76</v>
      </c>
      <c r="BX44" s="23" t="s">
        <v>77</v>
      </c>
      <c r="BZ44" s="39" t="s">
        <v>77</v>
      </c>
    </row>
    <row r="45" spans="1:78" x14ac:dyDescent="0.25">
      <c r="A45">
        <v>1210</v>
      </c>
      <c r="B45" t="s">
        <v>58</v>
      </c>
      <c r="C45" t="s">
        <v>21</v>
      </c>
      <c r="D45" t="s">
        <v>210</v>
      </c>
      <c r="E45" s="40">
        <v>650000</v>
      </c>
      <c r="F45" s="39">
        <v>630000</v>
      </c>
      <c r="G45">
        <f t="shared" si="0"/>
        <v>630000</v>
      </c>
      <c r="H45" s="5">
        <v>60</v>
      </c>
      <c r="I45" s="2">
        <v>40</v>
      </c>
      <c r="J45" s="2">
        <v>0</v>
      </c>
      <c r="K45" s="2">
        <v>0</v>
      </c>
      <c r="L45" s="2">
        <v>378000</v>
      </c>
      <c r="M45" s="2">
        <v>252000</v>
      </c>
      <c r="N45" s="2">
        <v>0</v>
      </c>
      <c r="O45" s="6">
        <v>0</v>
      </c>
      <c r="P45" s="185"/>
      <c r="Q45" s="23">
        <v>61.44</v>
      </c>
      <c r="T45" s="23" t="s">
        <v>64</v>
      </c>
      <c r="U45" s="23" t="s">
        <v>64</v>
      </c>
      <c r="W45" s="40">
        <v>1</v>
      </c>
      <c r="X45" s="23">
        <v>2</v>
      </c>
      <c r="Y45" s="23">
        <v>60</v>
      </c>
      <c r="Z45" s="23">
        <v>25</v>
      </c>
      <c r="AA45" s="23">
        <v>10</v>
      </c>
      <c r="AB45" s="23">
        <v>2</v>
      </c>
      <c r="AC45" s="23">
        <v>3780</v>
      </c>
      <c r="AD45" s="23">
        <v>7560</v>
      </c>
      <c r="AE45" s="23">
        <v>226800</v>
      </c>
      <c r="AF45" s="23">
        <v>94500</v>
      </c>
      <c r="AG45" s="23">
        <v>37800</v>
      </c>
      <c r="AH45" s="23">
        <v>7560</v>
      </c>
      <c r="AJ45" s="101" t="s">
        <v>63</v>
      </c>
      <c r="AK45" s="98"/>
      <c r="AL45" s="99"/>
      <c r="AM45" s="99"/>
      <c r="AN45" s="99"/>
      <c r="AO45" s="99"/>
      <c r="AP45" s="99"/>
      <c r="AQ45" s="99"/>
      <c r="AR45" s="99"/>
      <c r="AS45" s="99"/>
      <c r="AT45" s="99"/>
      <c r="AU45" s="99" t="s">
        <v>77</v>
      </c>
      <c r="AV45" s="39" t="s">
        <v>64</v>
      </c>
      <c r="AX45" s="39" t="s">
        <v>77</v>
      </c>
      <c r="AY45" s="103"/>
      <c r="AZ45" s="22"/>
      <c r="BA45" s="22"/>
      <c r="BB45" s="22"/>
      <c r="BC45" s="22"/>
      <c r="BD45" s="22"/>
      <c r="BE45" s="22"/>
      <c r="BF45" s="110" t="s">
        <v>77</v>
      </c>
      <c r="BG45" s="40" t="s">
        <v>77</v>
      </c>
      <c r="BI45" s="103" t="s">
        <v>77</v>
      </c>
      <c r="BJ45" s="110"/>
      <c r="BS45" s="39" t="s">
        <v>77</v>
      </c>
      <c r="BT45" s="40" t="s">
        <v>90</v>
      </c>
      <c r="BV45" s="23" t="s">
        <v>76</v>
      </c>
      <c r="BX45" s="23" t="s">
        <v>77</v>
      </c>
      <c r="BZ45" s="39" t="s">
        <v>77</v>
      </c>
    </row>
    <row r="46" spans="1:78" x14ac:dyDescent="0.25">
      <c r="A46">
        <v>1234</v>
      </c>
      <c r="B46" t="s">
        <v>58</v>
      </c>
      <c r="C46" t="s">
        <v>29</v>
      </c>
      <c r="D46" t="s">
        <v>211</v>
      </c>
      <c r="E46" s="40">
        <v>23714</v>
      </c>
      <c r="F46" s="39">
        <v>7898</v>
      </c>
      <c r="G46">
        <f t="shared" si="0"/>
        <v>7898</v>
      </c>
      <c r="H46" s="5">
        <v>12</v>
      </c>
      <c r="I46" s="2">
        <v>12</v>
      </c>
      <c r="J46" s="2">
        <v>43</v>
      </c>
      <c r="K46" s="2">
        <v>33</v>
      </c>
      <c r="L46" s="2">
        <v>947.76</v>
      </c>
      <c r="M46" s="2">
        <v>947.76</v>
      </c>
      <c r="N46" s="2">
        <v>3396.14</v>
      </c>
      <c r="O46" s="6">
        <v>2606.34</v>
      </c>
      <c r="P46" s="185"/>
      <c r="Q46" s="23">
        <v>2</v>
      </c>
      <c r="R46" s="23">
        <v>3</v>
      </c>
      <c r="S46" s="23">
        <v>2</v>
      </c>
      <c r="T46" s="23" t="s">
        <v>89</v>
      </c>
      <c r="U46" s="23" t="s">
        <v>90</v>
      </c>
      <c r="W46" s="40">
        <v>12</v>
      </c>
      <c r="X46" s="23">
        <v>12</v>
      </c>
      <c r="Y46" s="23">
        <v>12</v>
      </c>
      <c r="Z46" s="23">
        <v>12</v>
      </c>
      <c r="AA46" s="23">
        <v>12</v>
      </c>
      <c r="AB46" s="23">
        <v>40</v>
      </c>
      <c r="AC46" s="23">
        <v>113.73119999999999</v>
      </c>
      <c r="AD46" s="23">
        <v>113.73119999999999</v>
      </c>
      <c r="AE46" s="23">
        <v>113.73119999999999</v>
      </c>
      <c r="AF46" s="23">
        <v>113.73119999999999</v>
      </c>
      <c r="AG46" s="23">
        <v>113.73119999999999</v>
      </c>
      <c r="AH46" s="23">
        <v>379.10400000000004</v>
      </c>
      <c r="AJ46" s="101" t="s">
        <v>64</v>
      </c>
      <c r="AK46" s="40">
        <v>7.6923076923076925</v>
      </c>
      <c r="AL46" s="23">
        <v>76.923076923076934</v>
      </c>
      <c r="AM46" s="23">
        <v>7.6923076923076925</v>
      </c>
      <c r="AN46" s="23">
        <v>7.6923076923076925</v>
      </c>
      <c r="AO46" s="23">
        <v>0</v>
      </c>
      <c r="AP46" s="23">
        <v>261.24153846153848</v>
      </c>
      <c r="AQ46" s="23">
        <v>2612.4153846153849</v>
      </c>
      <c r="AR46" s="23">
        <v>261.24153846153848</v>
      </c>
      <c r="AS46" s="23">
        <v>261.24153846153848</v>
      </c>
      <c r="AT46" s="23">
        <v>0</v>
      </c>
      <c r="AU46" s="23" t="s">
        <v>76</v>
      </c>
      <c r="AW46" s="40">
        <v>12231</v>
      </c>
      <c r="AX46" s="39" t="s">
        <v>76</v>
      </c>
      <c r="AY46" s="103"/>
      <c r="AZ46" s="22"/>
      <c r="BA46" s="22"/>
      <c r="BB46" s="22"/>
      <c r="BC46" s="22"/>
      <c r="BD46" s="22"/>
      <c r="BE46" s="22"/>
      <c r="BF46" s="110" t="s">
        <v>77</v>
      </c>
      <c r="BG46" s="40" t="s">
        <v>160</v>
      </c>
      <c r="BI46" s="103" t="s">
        <v>90</v>
      </c>
      <c r="BJ46" s="110"/>
      <c r="BS46" s="39" t="s">
        <v>77</v>
      </c>
      <c r="BT46" s="40" t="s">
        <v>89</v>
      </c>
      <c r="BV46" s="23" t="s">
        <v>76</v>
      </c>
      <c r="BX46" s="23" t="s">
        <v>77</v>
      </c>
      <c r="BZ46" s="39" t="s">
        <v>77</v>
      </c>
    </row>
    <row r="47" spans="1:78" x14ac:dyDescent="0.25">
      <c r="A47">
        <v>1237</v>
      </c>
      <c r="B47" t="s">
        <v>59</v>
      </c>
      <c r="C47" t="s">
        <v>29</v>
      </c>
      <c r="D47" t="s">
        <v>211</v>
      </c>
      <c r="E47" s="40"/>
      <c r="F47" s="39">
        <v>72852</v>
      </c>
      <c r="H47" s="178"/>
      <c r="I47" s="177"/>
      <c r="J47" s="177"/>
      <c r="K47" s="177"/>
      <c r="L47" s="177"/>
      <c r="M47" s="177"/>
      <c r="N47" s="177"/>
      <c r="O47" s="179"/>
      <c r="P47" s="185"/>
      <c r="T47" s="23" t="s">
        <v>77</v>
      </c>
      <c r="U47" s="23" t="s">
        <v>77</v>
      </c>
      <c r="W47" s="98"/>
      <c r="X47" s="99"/>
      <c r="Y47" s="99"/>
      <c r="Z47" s="99"/>
      <c r="AA47" s="99"/>
      <c r="AB47" s="99"/>
      <c r="AC47" s="99"/>
      <c r="AD47" s="99"/>
      <c r="AE47" s="99"/>
      <c r="AF47" s="99"/>
      <c r="AG47" s="99"/>
      <c r="AH47" s="99"/>
      <c r="AI47" s="99"/>
      <c r="AJ47" s="101" t="s">
        <v>77</v>
      </c>
      <c r="AK47" s="98"/>
      <c r="AL47" s="99"/>
      <c r="AM47" s="99"/>
      <c r="AN47" s="99"/>
      <c r="AO47" s="99"/>
      <c r="AP47" s="99"/>
      <c r="AQ47" s="99"/>
      <c r="AR47" s="99"/>
      <c r="AS47" s="99"/>
      <c r="AT47" s="99"/>
      <c r="AU47" s="99" t="s">
        <v>77</v>
      </c>
      <c r="AX47" s="39" t="s">
        <v>77</v>
      </c>
      <c r="AY47" s="103"/>
      <c r="AZ47" s="22"/>
      <c r="BA47" s="22"/>
      <c r="BB47" s="22"/>
      <c r="BC47" s="22"/>
      <c r="BD47" s="22"/>
      <c r="BE47" s="22"/>
      <c r="BF47" s="110" t="s">
        <v>77</v>
      </c>
      <c r="BG47" s="40" t="s">
        <v>77</v>
      </c>
      <c r="BI47" s="103" t="s">
        <v>77</v>
      </c>
      <c r="BJ47" s="110"/>
      <c r="BS47" s="39" t="s">
        <v>77</v>
      </c>
      <c r="BT47" s="40" t="s">
        <v>77</v>
      </c>
      <c r="BV47" s="23" t="s">
        <v>201</v>
      </c>
      <c r="BX47" s="23" t="s">
        <v>77</v>
      </c>
      <c r="BZ47" s="39" t="s">
        <v>77</v>
      </c>
    </row>
    <row r="48" spans="1:78" x14ac:dyDescent="0.25">
      <c r="A48">
        <v>1252</v>
      </c>
      <c r="B48" t="s">
        <v>59</v>
      </c>
      <c r="C48" t="s">
        <v>30</v>
      </c>
      <c r="D48" t="s">
        <v>211</v>
      </c>
      <c r="E48" s="40">
        <v>100000</v>
      </c>
      <c r="F48" s="39">
        <v>60000</v>
      </c>
      <c r="G48">
        <f t="shared" si="0"/>
        <v>60000</v>
      </c>
      <c r="H48" s="5">
        <v>5</v>
      </c>
      <c r="I48" s="2">
        <v>90</v>
      </c>
      <c r="J48" s="2">
        <v>0</v>
      </c>
      <c r="K48" s="2">
        <v>5</v>
      </c>
      <c r="L48" s="2">
        <v>3000</v>
      </c>
      <c r="M48" s="2">
        <v>54000</v>
      </c>
      <c r="N48" s="2">
        <v>0</v>
      </c>
      <c r="O48" s="6">
        <v>3000</v>
      </c>
      <c r="P48" s="185"/>
      <c r="Q48" s="23">
        <v>45</v>
      </c>
      <c r="R48" s="23">
        <v>45</v>
      </c>
      <c r="S48" s="23">
        <v>45</v>
      </c>
      <c r="T48" s="23" t="s">
        <v>89</v>
      </c>
      <c r="U48" s="23" t="s">
        <v>64</v>
      </c>
      <c r="W48" s="40">
        <v>15</v>
      </c>
      <c r="X48" s="23">
        <v>15</v>
      </c>
      <c r="Y48" s="23">
        <v>40</v>
      </c>
      <c r="Z48" s="23">
        <v>20</v>
      </c>
      <c r="AA48" s="23">
        <v>0</v>
      </c>
      <c r="AB48" s="23">
        <v>10</v>
      </c>
      <c r="AC48" s="23">
        <v>450</v>
      </c>
      <c r="AD48" s="23">
        <v>450</v>
      </c>
      <c r="AE48" s="23">
        <v>1200</v>
      </c>
      <c r="AF48" s="23">
        <v>600</v>
      </c>
      <c r="AG48" s="23">
        <v>0</v>
      </c>
      <c r="AH48" s="23">
        <v>300</v>
      </c>
      <c r="AJ48" s="101" t="s">
        <v>63</v>
      </c>
      <c r="AK48" s="98"/>
      <c r="AL48" s="99"/>
      <c r="AM48" s="99"/>
      <c r="AN48" s="99"/>
      <c r="AO48" s="99"/>
      <c r="AP48" s="99"/>
      <c r="AQ48" s="99"/>
      <c r="AR48" s="99"/>
      <c r="AS48" s="99"/>
      <c r="AT48" s="99"/>
      <c r="AU48" s="99" t="s">
        <v>77</v>
      </c>
      <c r="AX48" s="39" t="s">
        <v>77</v>
      </c>
      <c r="AY48" s="103"/>
      <c r="AZ48" s="22"/>
      <c r="BA48" s="22"/>
      <c r="BB48" s="22"/>
      <c r="BC48" s="22"/>
      <c r="BD48" s="22"/>
      <c r="BE48" s="22"/>
      <c r="BF48" s="110" t="s">
        <v>77</v>
      </c>
      <c r="BG48" s="40" t="s">
        <v>77</v>
      </c>
      <c r="BI48" s="103" t="s">
        <v>77</v>
      </c>
      <c r="BJ48" s="110"/>
      <c r="BS48" s="39" t="s">
        <v>77</v>
      </c>
      <c r="BT48" s="40" t="s">
        <v>77</v>
      </c>
      <c r="BV48" s="23" t="s">
        <v>201</v>
      </c>
      <c r="BX48" s="23" t="s">
        <v>77</v>
      </c>
      <c r="BZ48" s="39" t="s">
        <v>77</v>
      </c>
    </row>
    <row r="49" spans="1:78" x14ac:dyDescent="0.25">
      <c r="A49">
        <v>1253</v>
      </c>
      <c r="B49" t="s">
        <v>59</v>
      </c>
      <c r="C49" t="s">
        <v>30</v>
      </c>
      <c r="D49" t="s">
        <v>211</v>
      </c>
      <c r="E49" s="40">
        <v>63500</v>
      </c>
      <c r="F49" s="39">
        <v>45359</v>
      </c>
      <c r="G49">
        <f t="shared" si="0"/>
        <v>45359</v>
      </c>
      <c r="H49" s="5">
        <v>0</v>
      </c>
      <c r="I49" s="2">
        <v>100</v>
      </c>
      <c r="J49" s="2">
        <v>0</v>
      </c>
      <c r="K49" s="2">
        <v>0</v>
      </c>
      <c r="L49" s="2">
        <v>0</v>
      </c>
      <c r="M49" s="2">
        <v>45359</v>
      </c>
      <c r="N49" s="2">
        <v>0</v>
      </c>
      <c r="O49" s="6">
        <v>0</v>
      </c>
      <c r="P49" s="185"/>
      <c r="Q49" s="23">
        <v>57.37</v>
      </c>
      <c r="R49" s="23">
        <v>0</v>
      </c>
      <c r="S49" s="23">
        <v>29</v>
      </c>
      <c r="T49" s="23" t="s">
        <v>64</v>
      </c>
      <c r="U49" s="23" t="s">
        <v>64</v>
      </c>
      <c r="W49" s="104"/>
      <c r="X49" s="105"/>
      <c r="Y49" s="105"/>
      <c r="Z49" s="105"/>
      <c r="AA49" s="105"/>
      <c r="AB49" s="105"/>
      <c r="AC49" s="105"/>
      <c r="AD49" s="105"/>
      <c r="AE49" s="105"/>
      <c r="AF49" s="105"/>
      <c r="AG49" s="105"/>
      <c r="AH49" s="105"/>
      <c r="AI49" s="105"/>
      <c r="AJ49" s="101" t="s">
        <v>63</v>
      </c>
      <c r="AK49" s="98"/>
      <c r="AL49" s="99"/>
      <c r="AM49" s="99"/>
      <c r="AN49" s="99"/>
      <c r="AO49" s="99"/>
      <c r="AP49" s="99"/>
      <c r="AQ49" s="99"/>
      <c r="AR49" s="99"/>
      <c r="AS49" s="99"/>
      <c r="AT49" s="99"/>
      <c r="AU49" s="99" t="s">
        <v>77</v>
      </c>
      <c r="AX49" s="39" t="s">
        <v>77</v>
      </c>
      <c r="AY49" s="103"/>
      <c r="AZ49" s="22"/>
      <c r="BA49" s="22"/>
      <c r="BB49" s="22"/>
      <c r="BC49" s="22"/>
      <c r="BD49" s="22"/>
      <c r="BE49" s="22"/>
      <c r="BF49" s="110" t="s">
        <v>77</v>
      </c>
      <c r="BG49" s="40" t="s">
        <v>77</v>
      </c>
      <c r="BI49" s="103" t="s">
        <v>77</v>
      </c>
      <c r="BJ49" s="110"/>
      <c r="BS49" s="39" t="s">
        <v>77</v>
      </c>
      <c r="BT49" s="40" t="s">
        <v>77</v>
      </c>
      <c r="BV49" s="23" t="s">
        <v>201</v>
      </c>
      <c r="BX49" s="23" t="s">
        <v>77</v>
      </c>
      <c r="BZ49" s="39" t="s">
        <v>77</v>
      </c>
    </row>
    <row r="50" spans="1:78" x14ac:dyDescent="0.25">
      <c r="A50">
        <v>1255</v>
      </c>
      <c r="B50" t="s">
        <v>59</v>
      </c>
      <c r="C50" t="s">
        <v>30</v>
      </c>
      <c r="D50" t="s">
        <v>211</v>
      </c>
      <c r="E50" s="40">
        <v>150000</v>
      </c>
      <c r="F50" s="39">
        <v>98970</v>
      </c>
      <c r="H50" s="178"/>
      <c r="I50" s="177"/>
      <c r="J50" s="177"/>
      <c r="K50" s="177"/>
      <c r="L50" s="177"/>
      <c r="M50" s="177"/>
      <c r="N50" s="177"/>
      <c r="O50" s="179"/>
      <c r="P50" s="185"/>
      <c r="Q50" s="23">
        <v>57.57</v>
      </c>
      <c r="T50" s="23" t="s">
        <v>64</v>
      </c>
      <c r="U50" s="23" t="s">
        <v>64</v>
      </c>
      <c r="W50" s="98"/>
      <c r="X50" s="99"/>
      <c r="Y50" s="99"/>
      <c r="Z50" s="99"/>
      <c r="AA50" s="99"/>
      <c r="AB50" s="99"/>
      <c r="AC50" s="99"/>
      <c r="AD50" s="99"/>
      <c r="AE50" s="99"/>
      <c r="AF50" s="99"/>
      <c r="AG50" s="99"/>
      <c r="AH50" s="99"/>
      <c r="AI50" s="99"/>
      <c r="AJ50" s="101" t="s">
        <v>77</v>
      </c>
      <c r="AK50" s="98"/>
      <c r="AL50" s="99"/>
      <c r="AM50" s="99"/>
      <c r="AN50" s="99"/>
      <c r="AO50" s="99"/>
      <c r="AP50" s="99"/>
      <c r="AQ50" s="99"/>
      <c r="AR50" s="99"/>
      <c r="AS50" s="99"/>
      <c r="AT50" s="99"/>
      <c r="AU50" s="99" t="s">
        <v>77</v>
      </c>
      <c r="AV50" s="39" t="s">
        <v>64</v>
      </c>
      <c r="AX50" s="39" t="s">
        <v>77</v>
      </c>
      <c r="AY50" s="103"/>
      <c r="AZ50" s="22"/>
      <c r="BA50" s="22"/>
      <c r="BB50" s="22"/>
      <c r="BC50" s="22"/>
      <c r="BD50" s="22"/>
      <c r="BE50" s="22"/>
      <c r="BF50" s="110" t="s">
        <v>77</v>
      </c>
      <c r="BG50" s="40" t="s">
        <v>77</v>
      </c>
      <c r="BI50" s="103" t="s">
        <v>77</v>
      </c>
      <c r="BJ50" s="110"/>
      <c r="BS50" s="39" t="s">
        <v>77</v>
      </c>
      <c r="BT50" s="40" t="s">
        <v>77</v>
      </c>
      <c r="BV50" s="23" t="s">
        <v>201</v>
      </c>
      <c r="BX50" s="23" t="s">
        <v>77</v>
      </c>
      <c r="BZ50" s="39" t="s">
        <v>77</v>
      </c>
    </row>
    <row r="51" spans="1:78" x14ac:dyDescent="0.25">
      <c r="A51">
        <v>1265</v>
      </c>
      <c r="B51" t="s">
        <v>58</v>
      </c>
      <c r="C51" t="s">
        <v>30</v>
      </c>
      <c r="D51" t="s">
        <v>211</v>
      </c>
      <c r="E51" s="40">
        <v>65622</v>
      </c>
      <c r="F51" s="39">
        <v>45721</v>
      </c>
      <c r="G51">
        <f t="shared" si="0"/>
        <v>45721</v>
      </c>
      <c r="H51" s="5">
        <v>10.3</v>
      </c>
      <c r="I51" s="2">
        <v>82.7</v>
      </c>
      <c r="J51" s="2">
        <v>3</v>
      </c>
      <c r="K51" s="2">
        <v>4</v>
      </c>
      <c r="L51" s="2">
        <v>4709.2630000000008</v>
      </c>
      <c r="M51" s="2">
        <v>37811.267</v>
      </c>
      <c r="N51" s="2">
        <v>1371.63</v>
      </c>
      <c r="O51" s="6">
        <v>1828.8400000000001</v>
      </c>
      <c r="P51" s="185"/>
      <c r="Q51" s="23">
        <v>74</v>
      </c>
      <c r="S51" s="23">
        <v>25</v>
      </c>
      <c r="T51" s="23" t="s">
        <v>89</v>
      </c>
      <c r="U51" s="23" t="s">
        <v>89</v>
      </c>
      <c r="W51" s="40">
        <v>9.7087378640776698E-2</v>
      </c>
      <c r="X51" s="23">
        <v>9.7087378640776698E-2</v>
      </c>
      <c r="Y51" s="23">
        <v>0.77669902912621358</v>
      </c>
      <c r="Z51" s="23">
        <v>1.9417475728155338</v>
      </c>
      <c r="AA51" s="23">
        <v>0</v>
      </c>
      <c r="AB51" s="23">
        <v>97.087378640776691</v>
      </c>
      <c r="AC51" s="23">
        <v>4.5721000000000007</v>
      </c>
      <c r="AD51" s="23">
        <v>4.5721000000000007</v>
      </c>
      <c r="AE51" s="23">
        <v>36.576800000000006</v>
      </c>
      <c r="AF51" s="23">
        <v>91.442000000000007</v>
      </c>
      <c r="AG51" s="23">
        <v>0</v>
      </c>
      <c r="AH51" s="23">
        <v>4572.1000000000004</v>
      </c>
      <c r="AJ51" s="101" t="s">
        <v>64</v>
      </c>
      <c r="AK51" s="40">
        <v>1.3157894736842104</v>
      </c>
      <c r="AL51" s="23">
        <v>0</v>
      </c>
      <c r="AM51" s="23">
        <v>0</v>
      </c>
      <c r="AN51" s="23">
        <v>98.68421052631578</v>
      </c>
      <c r="AO51" s="23">
        <v>0</v>
      </c>
      <c r="AP51" s="23">
        <v>18.047763157894739</v>
      </c>
      <c r="AQ51" s="23">
        <v>0</v>
      </c>
      <c r="AR51" s="23">
        <v>0</v>
      </c>
      <c r="AS51" s="23">
        <v>1353.5822368421054</v>
      </c>
      <c r="AT51" s="23">
        <v>0</v>
      </c>
      <c r="AU51" s="23" t="s">
        <v>76</v>
      </c>
      <c r="AW51" s="40">
        <v>1260</v>
      </c>
      <c r="AX51" s="39" t="s">
        <v>76</v>
      </c>
      <c r="AY51" s="121"/>
      <c r="AZ51" s="25">
        <v>0</v>
      </c>
      <c r="BA51" s="25"/>
      <c r="BB51" s="25">
        <v>0</v>
      </c>
      <c r="BC51" s="25"/>
      <c r="BD51" s="25">
        <v>0</v>
      </c>
      <c r="BE51" s="22"/>
      <c r="BF51" s="110" t="s">
        <v>77</v>
      </c>
      <c r="BG51" s="40" t="s">
        <v>158</v>
      </c>
      <c r="BI51" s="103" t="s">
        <v>89</v>
      </c>
      <c r="BJ51" s="110">
        <v>0</v>
      </c>
      <c r="BS51" s="39" t="s">
        <v>77</v>
      </c>
      <c r="BT51" s="40" t="s">
        <v>90</v>
      </c>
      <c r="BV51" s="23" t="s">
        <v>76</v>
      </c>
      <c r="BX51" s="23" t="s">
        <v>77</v>
      </c>
      <c r="BZ51" s="39" t="s">
        <v>77</v>
      </c>
    </row>
    <row r="52" spans="1:78" x14ac:dyDescent="0.25">
      <c r="A52">
        <v>1289</v>
      </c>
      <c r="B52" t="s">
        <v>59</v>
      </c>
      <c r="C52" t="s">
        <v>31</v>
      </c>
      <c r="D52" t="s">
        <v>213</v>
      </c>
      <c r="E52" s="40">
        <v>290951</v>
      </c>
      <c r="F52" s="39">
        <v>964049</v>
      </c>
      <c r="G52">
        <f t="shared" si="0"/>
        <v>964049</v>
      </c>
      <c r="H52" s="5">
        <v>0</v>
      </c>
      <c r="I52" s="2">
        <v>100</v>
      </c>
      <c r="J52" s="2">
        <v>0</v>
      </c>
      <c r="K52" s="2">
        <v>0</v>
      </c>
      <c r="L52" s="2">
        <v>0</v>
      </c>
      <c r="M52" s="2">
        <v>964049</v>
      </c>
      <c r="N52" s="2">
        <v>0</v>
      </c>
      <c r="O52" s="6">
        <v>0</v>
      </c>
      <c r="P52" s="185"/>
      <c r="Q52" s="23">
        <v>64.25</v>
      </c>
      <c r="T52" s="23" t="s">
        <v>64</v>
      </c>
      <c r="U52" s="23" t="s">
        <v>63</v>
      </c>
      <c r="W52" s="98"/>
      <c r="X52" s="99"/>
      <c r="Y52" s="99"/>
      <c r="Z52" s="99"/>
      <c r="AA52" s="99"/>
      <c r="AB52" s="99"/>
      <c r="AC52" s="99"/>
      <c r="AD52" s="99"/>
      <c r="AE52" s="99"/>
      <c r="AF52" s="99"/>
      <c r="AG52" s="99"/>
      <c r="AH52" s="99"/>
      <c r="AI52" s="99"/>
      <c r="AJ52" s="101" t="s">
        <v>63</v>
      </c>
      <c r="AK52" s="98"/>
      <c r="AL52" s="99"/>
      <c r="AM52" s="99"/>
      <c r="AN52" s="99"/>
      <c r="AO52" s="99"/>
      <c r="AP52" s="99"/>
      <c r="AQ52" s="99"/>
      <c r="AR52" s="99"/>
      <c r="AS52" s="99"/>
      <c r="AT52" s="99"/>
      <c r="AU52" s="99" t="s">
        <v>77</v>
      </c>
      <c r="AX52" s="39" t="s">
        <v>77</v>
      </c>
      <c r="AY52" s="103"/>
      <c r="AZ52" s="22"/>
      <c r="BA52" s="22"/>
      <c r="BB52" s="22"/>
      <c r="BC52" s="22"/>
      <c r="BD52" s="22"/>
      <c r="BE52" s="22"/>
      <c r="BF52" s="110" t="s">
        <v>77</v>
      </c>
      <c r="BG52" s="40" t="s">
        <v>63</v>
      </c>
      <c r="BI52" s="103" t="s">
        <v>77</v>
      </c>
      <c r="BJ52" s="110"/>
      <c r="BS52" s="39" t="s">
        <v>77</v>
      </c>
      <c r="BT52" s="40" t="s">
        <v>90</v>
      </c>
      <c r="BV52" s="23" t="s">
        <v>76</v>
      </c>
      <c r="BX52" s="23" t="s">
        <v>77</v>
      </c>
      <c r="BZ52" s="39" t="s">
        <v>77</v>
      </c>
    </row>
    <row r="53" spans="1:78" x14ac:dyDescent="0.25">
      <c r="A53">
        <v>1293</v>
      </c>
      <c r="B53" t="s">
        <v>58</v>
      </c>
      <c r="C53" t="s">
        <v>31</v>
      </c>
      <c r="D53" t="s">
        <v>213</v>
      </c>
      <c r="E53" s="40">
        <v>500000</v>
      </c>
      <c r="F53" s="39">
        <v>100000</v>
      </c>
      <c r="G53">
        <f t="shared" si="0"/>
        <v>100000</v>
      </c>
      <c r="H53" s="5">
        <v>15</v>
      </c>
      <c r="I53" s="2">
        <v>85</v>
      </c>
      <c r="J53" s="2">
        <v>0</v>
      </c>
      <c r="K53" s="2">
        <v>0</v>
      </c>
      <c r="L53" s="2">
        <v>15000</v>
      </c>
      <c r="M53" s="2">
        <v>85000</v>
      </c>
      <c r="N53" s="2">
        <v>0</v>
      </c>
      <c r="O53" s="6">
        <v>0</v>
      </c>
      <c r="P53" s="185"/>
      <c r="Q53" s="23">
        <v>80</v>
      </c>
      <c r="T53" s="23" t="s">
        <v>64</v>
      </c>
      <c r="U53" s="23" t="s">
        <v>64</v>
      </c>
      <c r="W53" s="40">
        <v>5</v>
      </c>
      <c r="X53" s="23">
        <v>1</v>
      </c>
      <c r="Y53" s="23">
        <v>69</v>
      </c>
      <c r="Z53" s="23">
        <v>15</v>
      </c>
      <c r="AA53" s="23">
        <v>5</v>
      </c>
      <c r="AB53" s="23">
        <v>5</v>
      </c>
      <c r="AC53" s="23">
        <v>750</v>
      </c>
      <c r="AD53" s="23">
        <v>150</v>
      </c>
      <c r="AE53" s="23">
        <v>10350</v>
      </c>
      <c r="AF53" s="23">
        <v>2250</v>
      </c>
      <c r="AG53" s="23">
        <v>750</v>
      </c>
      <c r="AH53" s="23">
        <v>750</v>
      </c>
      <c r="AJ53" s="101" t="s">
        <v>63</v>
      </c>
      <c r="AK53" s="98"/>
      <c r="AL53" s="99"/>
      <c r="AM53" s="99"/>
      <c r="AN53" s="99"/>
      <c r="AO53" s="99"/>
      <c r="AP53" s="99"/>
      <c r="AQ53" s="99"/>
      <c r="AR53" s="99"/>
      <c r="AS53" s="99"/>
      <c r="AT53" s="99"/>
      <c r="AU53" s="99" t="s">
        <v>77</v>
      </c>
      <c r="AX53" s="39" t="s">
        <v>77</v>
      </c>
      <c r="AY53" s="103"/>
      <c r="AZ53" s="22"/>
      <c r="BA53" s="22"/>
      <c r="BB53" s="22"/>
      <c r="BC53" s="22"/>
      <c r="BD53" s="22"/>
      <c r="BE53" s="22"/>
      <c r="BF53" s="110" t="s">
        <v>77</v>
      </c>
      <c r="BG53" s="40" t="s">
        <v>77</v>
      </c>
      <c r="BI53" s="103" t="s">
        <v>77</v>
      </c>
      <c r="BJ53" s="110"/>
      <c r="BS53" s="39" t="s">
        <v>77</v>
      </c>
      <c r="BT53" s="40" t="s">
        <v>77</v>
      </c>
      <c r="BV53" s="23" t="s">
        <v>201</v>
      </c>
      <c r="BX53" s="23" t="s">
        <v>77</v>
      </c>
      <c r="BZ53" s="39" t="s">
        <v>77</v>
      </c>
    </row>
    <row r="54" spans="1:78" x14ac:dyDescent="0.25">
      <c r="A54">
        <v>1294</v>
      </c>
      <c r="B54" t="s">
        <v>59</v>
      </c>
      <c r="C54" t="s">
        <v>32</v>
      </c>
      <c r="D54" t="s">
        <v>212</v>
      </c>
      <c r="E54" s="40">
        <v>144503</v>
      </c>
      <c r="F54" s="39">
        <v>29536</v>
      </c>
      <c r="G54">
        <f t="shared" si="0"/>
        <v>29536</v>
      </c>
      <c r="H54" s="5">
        <v>0</v>
      </c>
      <c r="I54" s="2">
        <v>72.697724810400871</v>
      </c>
      <c r="J54" s="2">
        <v>27.302275189599136</v>
      </c>
      <c r="K54" s="2">
        <v>0</v>
      </c>
      <c r="L54" s="2">
        <v>0</v>
      </c>
      <c r="M54" s="2">
        <v>21472</v>
      </c>
      <c r="N54" s="2">
        <v>8064.0000000000009</v>
      </c>
      <c r="O54" s="6">
        <v>0</v>
      </c>
      <c r="P54" s="185"/>
      <c r="Q54" s="23">
        <v>50</v>
      </c>
      <c r="R54" s="23">
        <v>30</v>
      </c>
      <c r="T54" s="23" t="s">
        <v>64</v>
      </c>
      <c r="U54" s="23" t="s">
        <v>64</v>
      </c>
      <c r="W54" s="98"/>
      <c r="X54" s="99"/>
      <c r="Y54" s="99"/>
      <c r="Z54" s="99"/>
      <c r="AA54" s="99"/>
      <c r="AB54" s="99"/>
      <c r="AC54" s="99"/>
      <c r="AD54" s="99"/>
      <c r="AE54" s="99"/>
      <c r="AF54" s="99"/>
      <c r="AG54" s="99"/>
      <c r="AH54" s="99"/>
      <c r="AI54" s="99"/>
      <c r="AJ54" s="101" t="s">
        <v>64</v>
      </c>
      <c r="AK54" s="40">
        <v>0</v>
      </c>
      <c r="AL54" s="23">
        <v>0</v>
      </c>
      <c r="AM54" s="23">
        <v>0</v>
      </c>
      <c r="AN54" s="23">
        <v>100</v>
      </c>
      <c r="AO54" s="23">
        <v>0</v>
      </c>
      <c r="AP54" s="23">
        <v>0</v>
      </c>
      <c r="AQ54" s="23">
        <v>0</v>
      </c>
      <c r="AR54" s="23">
        <v>0</v>
      </c>
      <c r="AS54" s="23">
        <v>8064.0000000000009</v>
      </c>
      <c r="AT54" s="23">
        <v>0</v>
      </c>
      <c r="AU54" s="23" t="s">
        <v>76</v>
      </c>
      <c r="AW54" s="40">
        <v>0</v>
      </c>
      <c r="AX54" s="39" t="s">
        <v>118</v>
      </c>
      <c r="AY54" s="103">
        <v>3</v>
      </c>
      <c r="AZ54" s="22">
        <v>4190</v>
      </c>
      <c r="BA54" s="22">
        <v>0</v>
      </c>
      <c r="BB54" s="22">
        <v>319</v>
      </c>
      <c r="BC54" s="22"/>
      <c r="BD54" s="22"/>
      <c r="BE54" s="22"/>
      <c r="BF54" s="110" t="s">
        <v>76</v>
      </c>
      <c r="BG54" s="40" t="s">
        <v>63</v>
      </c>
      <c r="BI54" s="103" t="s">
        <v>77</v>
      </c>
      <c r="BJ54" s="110"/>
      <c r="BS54" s="39" t="s">
        <v>77</v>
      </c>
      <c r="BT54" s="40" t="s">
        <v>77</v>
      </c>
      <c r="BV54" s="23" t="s">
        <v>201</v>
      </c>
      <c r="BX54" s="23" t="s">
        <v>77</v>
      </c>
      <c r="BZ54" s="39" t="s">
        <v>77</v>
      </c>
    </row>
    <row r="55" spans="1:78" x14ac:dyDescent="0.25">
      <c r="A55">
        <v>1299</v>
      </c>
      <c r="B55" t="s">
        <v>58</v>
      </c>
      <c r="C55" t="s">
        <v>32</v>
      </c>
      <c r="D55" t="s">
        <v>212</v>
      </c>
      <c r="E55" s="40">
        <v>40000</v>
      </c>
      <c r="F55" s="39">
        <v>29350</v>
      </c>
      <c r="G55">
        <f t="shared" si="0"/>
        <v>29350</v>
      </c>
      <c r="H55" s="5">
        <v>15</v>
      </c>
      <c r="I55" s="2">
        <v>80</v>
      </c>
      <c r="J55" s="2">
        <v>5</v>
      </c>
      <c r="K55" s="2">
        <v>0</v>
      </c>
      <c r="L55" s="2">
        <v>4402.5</v>
      </c>
      <c r="M55" s="2">
        <v>23480</v>
      </c>
      <c r="N55" s="2">
        <v>1467.5</v>
      </c>
      <c r="O55" s="6">
        <v>0</v>
      </c>
      <c r="P55" s="185"/>
      <c r="Q55" s="23">
        <v>35</v>
      </c>
      <c r="R55" s="23">
        <v>25</v>
      </c>
      <c r="T55" s="23" t="s">
        <v>89</v>
      </c>
      <c r="U55" s="23" t="s">
        <v>89</v>
      </c>
      <c r="W55" s="40">
        <v>5</v>
      </c>
      <c r="X55" s="23">
        <v>5</v>
      </c>
      <c r="Y55" s="23">
        <v>70</v>
      </c>
      <c r="Z55" s="23">
        <v>5</v>
      </c>
      <c r="AA55" s="23">
        <v>10</v>
      </c>
      <c r="AB55" s="23">
        <v>5</v>
      </c>
      <c r="AC55" s="23">
        <v>220.125</v>
      </c>
      <c r="AD55" s="23">
        <v>220.125</v>
      </c>
      <c r="AE55" s="23">
        <v>3081.75</v>
      </c>
      <c r="AF55" s="23">
        <v>220.125</v>
      </c>
      <c r="AG55" s="23">
        <v>440.25</v>
      </c>
      <c r="AH55" s="23">
        <v>220.125</v>
      </c>
      <c r="AJ55" s="101" t="s">
        <v>64</v>
      </c>
      <c r="AK55" s="40">
        <v>5</v>
      </c>
      <c r="AL55" s="23">
        <v>5</v>
      </c>
      <c r="AM55" s="23">
        <v>70</v>
      </c>
      <c r="AN55" s="23">
        <v>20</v>
      </c>
      <c r="AO55" s="23">
        <v>0</v>
      </c>
      <c r="AP55" s="23">
        <v>73.375</v>
      </c>
      <c r="AQ55" s="23">
        <v>73.375</v>
      </c>
      <c r="AR55" s="23">
        <v>1027.25</v>
      </c>
      <c r="AS55" s="23">
        <v>293.5</v>
      </c>
      <c r="AT55" s="23">
        <v>0</v>
      </c>
      <c r="AU55" s="23" t="s">
        <v>76</v>
      </c>
      <c r="AW55" s="40">
        <v>125</v>
      </c>
      <c r="AX55" s="39" t="s">
        <v>76</v>
      </c>
      <c r="AY55" s="103"/>
      <c r="AZ55" s="22"/>
      <c r="BA55" s="22"/>
      <c r="BB55" s="22"/>
      <c r="BC55" s="22"/>
      <c r="BD55" s="22"/>
      <c r="BE55" s="22" t="s">
        <v>64</v>
      </c>
      <c r="BF55" s="110" t="s">
        <v>76</v>
      </c>
      <c r="BG55" s="40" t="s">
        <v>63</v>
      </c>
      <c r="BI55" s="103" t="s">
        <v>77</v>
      </c>
      <c r="BJ55" s="110"/>
      <c r="BS55" s="39" t="s">
        <v>77</v>
      </c>
      <c r="BT55" s="40" t="s">
        <v>90</v>
      </c>
      <c r="BV55" s="23" t="s">
        <v>76</v>
      </c>
      <c r="BX55" s="23" t="s">
        <v>77</v>
      </c>
      <c r="BZ55" s="39" t="s">
        <v>77</v>
      </c>
    </row>
    <row r="56" spans="1:78" x14ac:dyDescent="0.25">
      <c r="A56">
        <v>1303</v>
      </c>
      <c r="B56" t="s">
        <v>58</v>
      </c>
      <c r="C56" t="s">
        <v>33</v>
      </c>
      <c r="D56" t="s">
        <v>213</v>
      </c>
      <c r="E56" s="40">
        <v>255599</v>
      </c>
      <c r="F56" s="39">
        <v>103958.478</v>
      </c>
      <c r="H56" s="178"/>
      <c r="I56" s="177"/>
      <c r="J56" s="177"/>
      <c r="K56" s="177"/>
      <c r="L56" s="177"/>
      <c r="M56" s="177"/>
      <c r="N56" s="177"/>
      <c r="O56" s="179"/>
      <c r="P56" s="185"/>
      <c r="Q56" s="23">
        <v>46</v>
      </c>
      <c r="R56" s="23">
        <v>46</v>
      </c>
      <c r="S56" s="23">
        <v>46</v>
      </c>
      <c r="T56" s="23" t="s">
        <v>89</v>
      </c>
      <c r="U56" s="23" t="s">
        <v>89</v>
      </c>
      <c r="W56" s="98"/>
      <c r="X56" s="99"/>
      <c r="Y56" s="99"/>
      <c r="Z56" s="99"/>
      <c r="AA56" s="99"/>
      <c r="AB56" s="99"/>
      <c r="AC56" s="99"/>
      <c r="AD56" s="99"/>
      <c r="AE56" s="99"/>
      <c r="AF56" s="99"/>
      <c r="AG56" s="99"/>
      <c r="AH56" s="99"/>
      <c r="AI56" s="99"/>
      <c r="AJ56" s="101" t="s">
        <v>134</v>
      </c>
      <c r="AK56" s="98"/>
      <c r="AL56" s="99"/>
      <c r="AM56" s="99"/>
      <c r="AN56" s="99"/>
      <c r="AO56" s="99"/>
      <c r="AP56" s="99"/>
      <c r="AQ56" s="99"/>
      <c r="AR56" s="99"/>
      <c r="AS56" s="99"/>
      <c r="AT56" s="99"/>
      <c r="AU56" s="99" t="s">
        <v>77</v>
      </c>
      <c r="AX56" s="39" t="s">
        <v>77</v>
      </c>
      <c r="AY56" s="103"/>
      <c r="AZ56" s="22"/>
      <c r="BA56" s="22"/>
      <c r="BB56" s="22"/>
      <c r="BC56" s="22"/>
      <c r="BD56" s="22"/>
      <c r="BE56" s="22"/>
      <c r="BF56" s="110" t="s">
        <v>77</v>
      </c>
      <c r="BG56" s="40" t="s">
        <v>77</v>
      </c>
      <c r="BI56" s="103" t="s">
        <v>77</v>
      </c>
      <c r="BJ56" s="110"/>
      <c r="BS56" s="39" t="s">
        <v>77</v>
      </c>
      <c r="BT56" s="40" t="s">
        <v>89</v>
      </c>
      <c r="BV56" s="23" t="s">
        <v>76</v>
      </c>
      <c r="BX56" s="23" t="s">
        <v>77</v>
      </c>
      <c r="BZ56" s="39" t="s">
        <v>77</v>
      </c>
    </row>
    <row r="57" spans="1:78" x14ac:dyDescent="0.25">
      <c r="A57">
        <v>1304</v>
      </c>
      <c r="B57" t="s">
        <v>59</v>
      </c>
      <c r="C57" t="s">
        <v>33</v>
      </c>
      <c r="D57" t="s">
        <v>213</v>
      </c>
      <c r="E57" s="40">
        <v>197349</v>
      </c>
      <c r="F57" s="39">
        <v>272847</v>
      </c>
      <c r="G57">
        <f t="shared" si="0"/>
        <v>272847.00000000006</v>
      </c>
      <c r="H57" s="5">
        <v>0</v>
      </c>
      <c r="I57" s="2">
        <v>98.944059095273957</v>
      </c>
      <c r="J57" s="2">
        <v>0.24354226963862452</v>
      </c>
      <c r="K57" s="2">
        <v>0.8123986350874105</v>
      </c>
      <c r="L57" s="2">
        <v>0</v>
      </c>
      <c r="M57" s="2">
        <v>269965.89691968216</v>
      </c>
      <c r="N57" s="2">
        <v>664.49777644089784</v>
      </c>
      <c r="O57" s="6">
        <v>2216.6053038769469</v>
      </c>
      <c r="P57" s="185"/>
      <c r="Q57" s="23">
        <v>45</v>
      </c>
      <c r="R57" s="23">
        <v>20</v>
      </c>
      <c r="S57" s="23">
        <v>45</v>
      </c>
      <c r="T57" s="23" t="s">
        <v>64</v>
      </c>
      <c r="U57" s="23" t="s">
        <v>64</v>
      </c>
      <c r="W57" s="98"/>
      <c r="X57" s="99"/>
      <c r="Y57" s="99"/>
      <c r="Z57" s="99"/>
      <c r="AA57" s="99"/>
      <c r="AB57" s="99"/>
      <c r="AC57" s="99"/>
      <c r="AD57" s="99"/>
      <c r="AE57" s="99"/>
      <c r="AF57" s="99"/>
      <c r="AG57" s="99"/>
      <c r="AH57" s="99"/>
      <c r="AI57" s="99"/>
      <c r="AJ57" s="101" t="s">
        <v>64</v>
      </c>
      <c r="AK57" s="40">
        <v>2.1084337349397591</v>
      </c>
      <c r="AL57" s="23">
        <v>0</v>
      </c>
      <c r="AM57" s="23">
        <v>0</v>
      </c>
      <c r="AN57" s="23">
        <v>97.891566265060234</v>
      </c>
      <c r="AO57" s="23">
        <v>0</v>
      </c>
      <c r="AP57" s="23">
        <v>14</v>
      </c>
      <c r="AQ57" s="23">
        <v>0</v>
      </c>
      <c r="AR57" s="23">
        <v>0</v>
      </c>
      <c r="AS57" s="23">
        <v>650</v>
      </c>
      <c r="AT57" s="23">
        <v>0</v>
      </c>
      <c r="AU57" s="23" t="s">
        <v>76</v>
      </c>
      <c r="AW57" s="40">
        <v>0</v>
      </c>
      <c r="AX57" s="39" t="s">
        <v>118</v>
      </c>
      <c r="AY57" s="103"/>
      <c r="AZ57" s="22"/>
      <c r="BA57" s="22"/>
      <c r="BB57" s="22"/>
      <c r="BC57" s="22"/>
      <c r="BD57" s="22"/>
      <c r="BE57" s="22"/>
      <c r="BF57" s="110" t="s">
        <v>77</v>
      </c>
      <c r="BG57" s="40" t="s">
        <v>158</v>
      </c>
      <c r="BH57" s="39" t="s">
        <v>234</v>
      </c>
      <c r="BI57" s="103" t="s">
        <v>64</v>
      </c>
      <c r="BJ57" s="110">
        <v>-3</v>
      </c>
      <c r="BR57" s="23" t="s">
        <v>64</v>
      </c>
      <c r="BS57" s="39" t="s">
        <v>65</v>
      </c>
      <c r="BT57" s="40" t="s">
        <v>90</v>
      </c>
      <c r="BV57" s="23" t="s">
        <v>76</v>
      </c>
      <c r="BX57" s="23" t="s">
        <v>77</v>
      </c>
      <c r="BZ57" s="39" t="s">
        <v>77</v>
      </c>
    </row>
    <row r="58" spans="1:78" x14ac:dyDescent="0.25">
      <c r="A58">
        <v>1311</v>
      </c>
      <c r="B58" t="s">
        <v>59</v>
      </c>
      <c r="C58" t="s">
        <v>33</v>
      </c>
      <c r="D58" t="s">
        <v>213</v>
      </c>
      <c r="E58" s="40">
        <v>139500</v>
      </c>
      <c r="F58" s="39">
        <v>199695</v>
      </c>
      <c r="G58">
        <f t="shared" si="0"/>
        <v>199695.00000000003</v>
      </c>
      <c r="H58" s="5">
        <v>18.33440127630082</v>
      </c>
      <c r="I58" s="2">
        <v>81.66559872369919</v>
      </c>
      <c r="J58" s="2">
        <v>0</v>
      </c>
      <c r="K58" s="2">
        <v>0</v>
      </c>
      <c r="L58" s="2">
        <v>36612.882628708925</v>
      </c>
      <c r="M58" s="2">
        <v>163082.1173712911</v>
      </c>
      <c r="N58" s="2">
        <v>0</v>
      </c>
      <c r="O58" s="6">
        <v>0</v>
      </c>
      <c r="P58" s="185"/>
      <c r="Q58" s="23">
        <v>28.5</v>
      </c>
      <c r="R58" s="23">
        <v>28.5</v>
      </c>
      <c r="T58" s="23" t="s">
        <v>64</v>
      </c>
      <c r="U58" s="23" t="s">
        <v>64</v>
      </c>
      <c r="W58" s="40">
        <v>4</v>
      </c>
      <c r="X58" s="23">
        <v>4</v>
      </c>
      <c r="Y58" s="23">
        <v>85</v>
      </c>
      <c r="Z58" s="23">
        <v>2</v>
      </c>
      <c r="AA58" s="23">
        <v>0</v>
      </c>
      <c r="AB58" s="23">
        <v>5</v>
      </c>
      <c r="AC58" s="23">
        <v>1464.5153051483571</v>
      </c>
      <c r="AD58" s="23">
        <v>1464.5153051483571</v>
      </c>
      <c r="AE58" s="23">
        <v>31120.950234402586</v>
      </c>
      <c r="AF58" s="23">
        <v>732.25765257417856</v>
      </c>
      <c r="AG58" s="23">
        <v>0</v>
      </c>
      <c r="AH58" s="23">
        <v>1830.6441314354463</v>
      </c>
      <c r="AJ58" s="101" t="s">
        <v>63</v>
      </c>
      <c r="AK58" s="98"/>
      <c r="AL58" s="99"/>
      <c r="AM58" s="99"/>
      <c r="AN58" s="99"/>
      <c r="AO58" s="99"/>
      <c r="AP58" s="99"/>
      <c r="AQ58" s="99"/>
      <c r="AR58" s="99"/>
      <c r="AS58" s="99"/>
      <c r="AT58" s="99"/>
      <c r="AU58" s="99" t="s">
        <v>77</v>
      </c>
      <c r="AV58" s="39" t="s">
        <v>64</v>
      </c>
      <c r="AW58" s="40">
        <v>0</v>
      </c>
      <c r="AX58" s="39" t="s">
        <v>118</v>
      </c>
      <c r="AY58" s="103"/>
      <c r="AZ58" s="22"/>
      <c r="BA58" s="22"/>
      <c r="BB58" s="22"/>
      <c r="BC58" s="22"/>
      <c r="BD58" s="22"/>
      <c r="BE58" s="22" t="s">
        <v>64</v>
      </c>
      <c r="BF58" s="110" t="s">
        <v>76</v>
      </c>
      <c r="BG58" s="40" t="s">
        <v>63</v>
      </c>
      <c r="BI58" s="103" t="s">
        <v>77</v>
      </c>
      <c r="BJ58" s="110"/>
      <c r="BS58" s="39" t="s">
        <v>77</v>
      </c>
      <c r="BT58" s="40" t="s">
        <v>90</v>
      </c>
      <c r="BV58" s="23" t="s">
        <v>76</v>
      </c>
      <c r="BX58" s="23" t="s">
        <v>77</v>
      </c>
      <c r="BZ58" s="39" t="s">
        <v>77</v>
      </c>
    </row>
    <row r="59" spans="1:78" x14ac:dyDescent="0.25">
      <c r="A59">
        <v>1323</v>
      </c>
      <c r="B59" t="s">
        <v>58</v>
      </c>
      <c r="C59" t="s">
        <v>34</v>
      </c>
      <c r="D59" t="s">
        <v>210</v>
      </c>
      <c r="E59" s="40">
        <v>375000</v>
      </c>
      <c r="F59" s="39">
        <v>260000</v>
      </c>
      <c r="G59">
        <f t="shared" si="0"/>
        <v>260000</v>
      </c>
      <c r="H59" s="5">
        <v>0</v>
      </c>
      <c r="I59" s="2">
        <v>100</v>
      </c>
      <c r="J59" s="2">
        <v>0</v>
      </c>
      <c r="K59" s="2">
        <v>0</v>
      </c>
      <c r="L59" s="2">
        <v>0</v>
      </c>
      <c r="M59" s="2">
        <v>260000</v>
      </c>
      <c r="N59" s="2">
        <v>0</v>
      </c>
      <c r="O59" s="6">
        <v>0</v>
      </c>
      <c r="P59" s="185"/>
      <c r="Q59" s="23">
        <v>34</v>
      </c>
      <c r="T59" s="23" t="s">
        <v>90</v>
      </c>
      <c r="U59" s="23" t="s">
        <v>90</v>
      </c>
      <c r="W59" s="98"/>
      <c r="X59" s="99"/>
      <c r="Y59" s="99"/>
      <c r="Z59" s="99"/>
      <c r="AA59" s="99"/>
      <c r="AB59" s="99"/>
      <c r="AC59" s="99"/>
      <c r="AD59" s="99"/>
      <c r="AE59" s="99"/>
      <c r="AF59" s="99"/>
      <c r="AG59" s="99"/>
      <c r="AH59" s="99"/>
      <c r="AI59" s="99"/>
      <c r="AJ59" s="101" t="s">
        <v>64</v>
      </c>
      <c r="AK59" s="98"/>
      <c r="AL59" s="99"/>
      <c r="AM59" s="99"/>
      <c r="AN59" s="99"/>
      <c r="AO59" s="99"/>
      <c r="AP59" s="99"/>
      <c r="AQ59" s="99"/>
      <c r="AR59" s="99"/>
      <c r="AS59" s="99"/>
      <c r="AT59" s="99"/>
      <c r="AU59" s="23" t="s">
        <v>76</v>
      </c>
      <c r="AW59" s="40">
        <v>0</v>
      </c>
      <c r="AX59" s="39" t="s">
        <v>118</v>
      </c>
      <c r="AY59" s="103"/>
      <c r="AZ59" s="22">
        <v>0</v>
      </c>
      <c r="BA59" s="22"/>
      <c r="BB59" s="22">
        <v>0</v>
      </c>
      <c r="BC59" s="22"/>
      <c r="BD59" s="22">
        <v>0</v>
      </c>
      <c r="BE59" s="22"/>
      <c r="BF59" s="110" t="s">
        <v>118</v>
      </c>
      <c r="BG59" s="40" t="s">
        <v>63</v>
      </c>
      <c r="BI59" s="103" t="s">
        <v>77</v>
      </c>
      <c r="BJ59" s="110"/>
      <c r="BS59" s="39" t="s">
        <v>77</v>
      </c>
      <c r="BT59" s="40" t="s">
        <v>90</v>
      </c>
      <c r="BV59" s="23" t="s">
        <v>76</v>
      </c>
      <c r="BX59" s="23" t="s">
        <v>77</v>
      </c>
      <c r="BZ59" s="39" t="s">
        <v>77</v>
      </c>
    </row>
    <row r="60" spans="1:78" x14ac:dyDescent="0.25">
      <c r="A60">
        <v>1326</v>
      </c>
      <c r="B60" t="s">
        <v>58</v>
      </c>
      <c r="C60" t="s">
        <v>34</v>
      </c>
      <c r="D60" t="s">
        <v>210</v>
      </c>
      <c r="E60" s="40">
        <v>500000</v>
      </c>
      <c r="F60" s="39">
        <v>210000</v>
      </c>
      <c r="G60">
        <f t="shared" si="0"/>
        <v>210000</v>
      </c>
      <c r="H60" s="5">
        <v>1</v>
      </c>
      <c r="I60" s="2">
        <v>98</v>
      </c>
      <c r="J60" s="2">
        <v>0</v>
      </c>
      <c r="K60" s="2">
        <v>1</v>
      </c>
      <c r="L60" s="2">
        <v>2100</v>
      </c>
      <c r="M60" s="2">
        <v>205800</v>
      </c>
      <c r="N60" s="2">
        <v>0</v>
      </c>
      <c r="O60" s="6">
        <v>2100</v>
      </c>
      <c r="P60" s="185"/>
      <c r="Q60" s="23">
        <v>46</v>
      </c>
      <c r="T60" s="23" t="s">
        <v>89</v>
      </c>
      <c r="U60" s="23" t="s">
        <v>77</v>
      </c>
      <c r="W60" s="98"/>
      <c r="X60" s="99"/>
      <c r="Y60" s="99"/>
      <c r="Z60" s="99"/>
      <c r="AA60" s="99"/>
      <c r="AB60" s="99"/>
      <c r="AC60" s="99"/>
      <c r="AD60" s="99"/>
      <c r="AE60" s="99"/>
      <c r="AF60" s="99"/>
      <c r="AG60" s="99"/>
      <c r="AH60" s="99"/>
      <c r="AI60" s="99"/>
      <c r="AJ60" s="101" t="s">
        <v>63</v>
      </c>
      <c r="AK60" s="98"/>
      <c r="AL60" s="99"/>
      <c r="AM60" s="99"/>
      <c r="AN60" s="99"/>
      <c r="AO60" s="99"/>
      <c r="AP60" s="99"/>
      <c r="AQ60" s="99"/>
      <c r="AR60" s="99"/>
      <c r="AS60" s="99"/>
      <c r="AT60" s="99"/>
      <c r="AU60" s="99" t="s">
        <v>77</v>
      </c>
      <c r="AV60" s="39" t="s">
        <v>64</v>
      </c>
      <c r="AX60" s="39" t="s">
        <v>77</v>
      </c>
      <c r="AY60" s="103"/>
      <c r="AZ60" s="22"/>
      <c r="BA60" s="22"/>
      <c r="BB60" s="22"/>
      <c r="BC60" s="22"/>
      <c r="BD60" s="22"/>
      <c r="BE60" s="22"/>
      <c r="BF60" s="110" t="s">
        <v>77</v>
      </c>
      <c r="BG60" s="40" t="s">
        <v>77</v>
      </c>
      <c r="BI60" s="103" t="s">
        <v>77</v>
      </c>
      <c r="BJ60" s="110"/>
      <c r="BS60" s="39" t="s">
        <v>77</v>
      </c>
      <c r="BT60" s="40" t="s">
        <v>90</v>
      </c>
      <c r="BV60" s="23" t="s">
        <v>76</v>
      </c>
      <c r="BX60" s="23" t="s">
        <v>77</v>
      </c>
      <c r="BZ60" s="39" t="s">
        <v>77</v>
      </c>
    </row>
    <row r="61" spans="1:78" x14ac:dyDescent="0.25">
      <c r="A61">
        <v>1327</v>
      </c>
      <c r="B61" t="s">
        <v>59</v>
      </c>
      <c r="C61" t="s">
        <v>34</v>
      </c>
      <c r="D61" t="s">
        <v>210</v>
      </c>
      <c r="E61" s="40">
        <v>175000</v>
      </c>
      <c r="F61" s="39">
        <v>218578</v>
      </c>
      <c r="G61">
        <f t="shared" si="0"/>
        <v>218578</v>
      </c>
      <c r="H61" s="5">
        <v>0</v>
      </c>
      <c r="I61" s="2">
        <v>89.525649786742704</v>
      </c>
      <c r="J61" s="2">
        <v>5.2859532954732895</v>
      </c>
      <c r="K61" s="2">
        <v>5.1883969177840088</v>
      </c>
      <c r="L61" s="2">
        <v>0</v>
      </c>
      <c r="M61" s="2">
        <v>195683.37479086648</v>
      </c>
      <c r="N61" s="2">
        <v>11553.930994179607</v>
      </c>
      <c r="O61" s="6">
        <v>11340.694214953932</v>
      </c>
      <c r="P61" s="185"/>
      <c r="Q61" s="23">
        <v>37</v>
      </c>
      <c r="R61" s="23">
        <v>0</v>
      </c>
      <c r="S61" s="23">
        <v>37</v>
      </c>
      <c r="T61" s="23" t="s">
        <v>64</v>
      </c>
      <c r="U61" s="23" t="s">
        <v>63</v>
      </c>
      <c r="V61" s="39" t="s">
        <v>96</v>
      </c>
      <c r="W61" s="98"/>
      <c r="X61" s="99"/>
      <c r="Y61" s="99"/>
      <c r="Z61" s="99"/>
      <c r="AA61" s="99"/>
      <c r="AB61" s="99"/>
      <c r="AC61" s="99"/>
      <c r="AD61" s="99"/>
      <c r="AE61" s="99"/>
      <c r="AF61" s="99"/>
      <c r="AG61" s="99"/>
      <c r="AH61" s="99"/>
      <c r="AI61" s="99"/>
      <c r="AJ61" s="101" t="s">
        <v>64</v>
      </c>
      <c r="AK61" s="40">
        <v>5.2362177491872446</v>
      </c>
      <c r="AL61" s="23">
        <v>0</v>
      </c>
      <c r="AM61" s="23">
        <v>0</v>
      </c>
      <c r="AN61" s="23">
        <v>94.763782250812753</v>
      </c>
      <c r="AO61" s="23">
        <v>0</v>
      </c>
      <c r="AP61" s="23">
        <v>604.98898544607891</v>
      </c>
      <c r="AQ61" s="23">
        <v>0</v>
      </c>
      <c r="AR61" s="23">
        <v>0</v>
      </c>
      <c r="AS61" s="23">
        <v>10948.942008733529</v>
      </c>
      <c r="AT61" s="23">
        <v>0</v>
      </c>
      <c r="AU61" s="23" t="s">
        <v>76</v>
      </c>
      <c r="AW61" s="40">
        <v>378.5</v>
      </c>
      <c r="AX61" s="39" t="s">
        <v>76</v>
      </c>
      <c r="AY61" s="103">
        <v>0</v>
      </c>
      <c r="AZ61" s="22"/>
      <c r="BA61" s="22">
        <v>0</v>
      </c>
      <c r="BB61" s="22"/>
      <c r="BC61" s="22">
        <v>0</v>
      </c>
      <c r="BD61" s="22"/>
      <c r="BE61" s="22"/>
      <c r="BF61" s="110" t="s">
        <v>118</v>
      </c>
      <c r="BG61" s="40" t="s">
        <v>158</v>
      </c>
      <c r="BH61" s="39" t="s">
        <v>235</v>
      </c>
      <c r="BI61" s="103" t="s">
        <v>89</v>
      </c>
      <c r="BJ61" s="110">
        <v>0</v>
      </c>
      <c r="BS61" s="39" t="s">
        <v>77</v>
      </c>
      <c r="BT61" s="40" t="s">
        <v>90</v>
      </c>
      <c r="BV61" s="23" t="s">
        <v>76</v>
      </c>
      <c r="BX61" s="23" t="s">
        <v>77</v>
      </c>
      <c r="BZ61" s="39" t="s">
        <v>77</v>
      </c>
    </row>
    <row r="62" spans="1:78" x14ac:dyDescent="0.25">
      <c r="A62">
        <v>1333</v>
      </c>
      <c r="B62" t="s">
        <v>58</v>
      </c>
      <c r="C62" t="s">
        <v>34</v>
      </c>
      <c r="D62" t="s">
        <v>210</v>
      </c>
      <c r="E62" s="40">
        <v>214000</v>
      </c>
      <c r="F62" s="39">
        <v>280000</v>
      </c>
      <c r="G62">
        <f t="shared" si="0"/>
        <v>280000</v>
      </c>
      <c r="H62" s="5">
        <v>8</v>
      </c>
      <c r="I62" s="2">
        <v>86</v>
      </c>
      <c r="J62" s="2">
        <v>6</v>
      </c>
      <c r="K62" s="2">
        <v>0</v>
      </c>
      <c r="L62" s="2">
        <v>22400</v>
      </c>
      <c r="M62" s="2">
        <v>240800</v>
      </c>
      <c r="N62" s="2">
        <v>16800</v>
      </c>
      <c r="O62" s="6">
        <v>0</v>
      </c>
      <c r="P62" s="185"/>
      <c r="Q62" s="23">
        <v>50</v>
      </c>
      <c r="R62" s="23">
        <v>11</v>
      </c>
      <c r="T62" s="23" t="s">
        <v>89</v>
      </c>
      <c r="U62" s="23" t="s">
        <v>90</v>
      </c>
      <c r="V62" s="39" t="s">
        <v>97</v>
      </c>
      <c r="W62" s="40">
        <v>0</v>
      </c>
      <c r="X62" s="23">
        <v>2</v>
      </c>
      <c r="Y62" s="23">
        <v>10</v>
      </c>
      <c r="Z62" s="23">
        <v>11</v>
      </c>
      <c r="AA62" s="23">
        <v>8</v>
      </c>
      <c r="AB62" s="23">
        <v>69</v>
      </c>
      <c r="AC62" s="23">
        <v>0</v>
      </c>
      <c r="AD62" s="23">
        <v>448</v>
      </c>
      <c r="AE62" s="23">
        <v>2240</v>
      </c>
      <c r="AF62" s="23">
        <v>2464</v>
      </c>
      <c r="AG62" s="23">
        <v>1792</v>
      </c>
      <c r="AH62" s="23">
        <v>15456</v>
      </c>
      <c r="AJ62" s="101" t="s">
        <v>64</v>
      </c>
      <c r="AK62" s="40">
        <v>11</v>
      </c>
      <c r="AL62" s="23">
        <v>1</v>
      </c>
      <c r="AM62" s="23">
        <v>75</v>
      </c>
      <c r="AN62" s="23">
        <v>13</v>
      </c>
      <c r="AO62" s="23">
        <v>0</v>
      </c>
      <c r="AP62" s="23">
        <v>1848</v>
      </c>
      <c r="AQ62" s="23">
        <v>168</v>
      </c>
      <c r="AR62" s="23">
        <v>12600</v>
      </c>
      <c r="AS62" s="23">
        <v>2184</v>
      </c>
      <c r="AT62" s="23">
        <v>0</v>
      </c>
      <c r="AU62" s="23" t="s">
        <v>76</v>
      </c>
      <c r="AW62" s="40">
        <v>14000</v>
      </c>
      <c r="AX62" s="39" t="s">
        <v>76</v>
      </c>
      <c r="AY62" s="103">
        <v>11</v>
      </c>
      <c r="AZ62" s="22">
        <v>12000</v>
      </c>
      <c r="BA62" s="22"/>
      <c r="BB62" s="22"/>
      <c r="BC62" s="22"/>
      <c r="BD62" s="22"/>
      <c r="BE62" s="22"/>
      <c r="BF62" s="110" t="s">
        <v>76</v>
      </c>
      <c r="BG62" s="40" t="s">
        <v>63</v>
      </c>
      <c r="BI62" s="103" t="s">
        <v>77</v>
      </c>
      <c r="BJ62" s="110"/>
      <c r="BS62" s="39" t="s">
        <v>77</v>
      </c>
      <c r="BT62" s="40" t="s">
        <v>89</v>
      </c>
      <c r="BU62" s="23">
        <v>11000</v>
      </c>
      <c r="BV62" s="23" t="s">
        <v>76</v>
      </c>
      <c r="BW62" s="23">
        <v>11000</v>
      </c>
      <c r="BX62" s="23" t="s">
        <v>76</v>
      </c>
      <c r="BY62" s="23">
        <v>100</v>
      </c>
      <c r="BZ62" s="39" t="s">
        <v>76</v>
      </c>
    </row>
    <row r="63" spans="1:78" x14ac:dyDescent="0.25">
      <c r="A63">
        <v>1342</v>
      </c>
      <c r="B63" t="s">
        <v>59</v>
      </c>
      <c r="C63" t="s">
        <v>35</v>
      </c>
      <c r="D63" t="s">
        <v>211</v>
      </c>
      <c r="E63" s="40">
        <v>21000</v>
      </c>
      <c r="F63" s="39">
        <v>56856.01</v>
      </c>
      <c r="G63">
        <f t="shared" si="0"/>
        <v>56856.009999999995</v>
      </c>
      <c r="H63" s="5">
        <v>2.499130589650449</v>
      </c>
      <c r="I63" s="2">
        <v>97.500869410349551</v>
      </c>
      <c r="J63" s="2">
        <v>0</v>
      </c>
      <c r="K63" s="2">
        <v>0</v>
      </c>
      <c r="L63" s="2">
        <v>1420.9059379647183</v>
      </c>
      <c r="M63" s="2">
        <v>55435.10406203528</v>
      </c>
      <c r="N63" s="2">
        <v>0</v>
      </c>
      <c r="O63" s="6">
        <v>0</v>
      </c>
      <c r="P63" s="185"/>
      <c r="Q63" s="23">
        <v>42</v>
      </c>
      <c r="R63" s="23">
        <v>20</v>
      </c>
      <c r="S63" s="23">
        <v>20</v>
      </c>
      <c r="T63" s="23" t="s">
        <v>64</v>
      </c>
      <c r="U63" s="23" t="s">
        <v>64</v>
      </c>
      <c r="W63" s="98"/>
      <c r="X63" s="99"/>
      <c r="Y63" s="99"/>
      <c r="Z63" s="99"/>
      <c r="AA63" s="99"/>
      <c r="AB63" s="99"/>
      <c r="AC63" s="99"/>
      <c r="AD63" s="99"/>
      <c r="AE63" s="99"/>
      <c r="AF63" s="99"/>
      <c r="AG63" s="99"/>
      <c r="AH63" s="99"/>
      <c r="AI63" s="99"/>
      <c r="AJ63" s="101" t="s">
        <v>64</v>
      </c>
      <c r="AK63" s="98"/>
      <c r="AL63" s="99"/>
      <c r="AM63" s="99"/>
      <c r="AN63" s="99"/>
      <c r="AO63" s="99"/>
      <c r="AP63" s="99"/>
      <c r="AQ63" s="99"/>
      <c r="AR63" s="99"/>
      <c r="AS63" s="99"/>
      <c r="AT63" s="99"/>
      <c r="AU63" s="99" t="s">
        <v>77</v>
      </c>
      <c r="AX63" s="39" t="s">
        <v>77</v>
      </c>
      <c r="AY63" s="103"/>
      <c r="AZ63" s="22"/>
      <c r="BA63" s="22"/>
      <c r="BB63" s="22"/>
      <c r="BC63" s="22"/>
      <c r="BD63" s="22"/>
      <c r="BE63" s="22"/>
      <c r="BF63" s="110" t="s">
        <v>77</v>
      </c>
      <c r="BG63" s="40" t="s">
        <v>77</v>
      </c>
      <c r="BI63" s="103" t="s">
        <v>64</v>
      </c>
      <c r="BJ63" s="110">
        <v>0</v>
      </c>
      <c r="BS63" s="39" t="s">
        <v>77</v>
      </c>
      <c r="BT63" s="40" t="s">
        <v>63</v>
      </c>
      <c r="BV63" s="23" t="s">
        <v>76</v>
      </c>
      <c r="BX63" s="23" t="s">
        <v>77</v>
      </c>
      <c r="BZ63" s="39" t="s">
        <v>77</v>
      </c>
    </row>
    <row r="64" spans="1:78" x14ac:dyDescent="0.25">
      <c r="A64">
        <v>1353</v>
      </c>
      <c r="B64" t="s">
        <v>58</v>
      </c>
      <c r="C64" t="s">
        <v>36</v>
      </c>
      <c r="D64" t="s">
        <v>211</v>
      </c>
      <c r="E64" s="40">
        <v>200000</v>
      </c>
      <c r="F64" s="39">
        <v>136000</v>
      </c>
      <c r="G64">
        <f t="shared" si="0"/>
        <v>136000</v>
      </c>
      <c r="H64" s="5">
        <v>0</v>
      </c>
      <c r="I64" s="2">
        <v>100</v>
      </c>
      <c r="J64" s="2">
        <v>0</v>
      </c>
      <c r="K64" s="2">
        <v>0</v>
      </c>
      <c r="L64" s="2">
        <v>0</v>
      </c>
      <c r="M64" s="2">
        <v>136000</v>
      </c>
      <c r="N64" s="2">
        <v>0</v>
      </c>
      <c r="O64" s="6">
        <v>0</v>
      </c>
      <c r="P64" s="185"/>
      <c r="T64" s="23" t="s">
        <v>89</v>
      </c>
      <c r="U64" s="23" t="s">
        <v>89</v>
      </c>
      <c r="W64" s="104"/>
      <c r="X64" s="105"/>
      <c r="Y64" s="105"/>
      <c r="Z64" s="105"/>
      <c r="AA64" s="105"/>
      <c r="AB64" s="105"/>
      <c r="AC64" s="105"/>
      <c r="AD64" s="105"/>
      <c r="AE64" s="105"/>
      <c r="AF64" s="105"/>
      <c r="AG64" s="105"/>
      <c r="AH64" s="105"/>
      <c r="AI64" s="105"/>
      <c r="AJ64" s="101" t="s">
        <v>63</v>
      </c>
      <c r="AK64" s="98"/>
      <c r="AL64" s="99"/>
      <c r="AM64" s="99"/>
      <c r="AN64" s="99"/>
      <c r="AO64" s="99"/>
      <c r="AP64" s="99"/>
      <c r="AQ64" s="99"/>
      <c r="AR64" s="99"/>
      <c r="AS64" s="99"/>
      <c r="AT64" s="99"/>
      <c r="AU64" s="99" t="s">
        <v>77</v>
      </c>
      <c r="AX64" s="39" t="s">
        <v>77</v>
      </c>
      <c r="AY64" s="103"/>
      <c r="AZ64" s="22"/>
      <c r="BA64" s="22"/>
      <c r="BB64" s="22"/>
      <c r="BC64" s="22"/>
      <c r="BD64" s="22"/>
      <c r="BE64" s="22"/>
      <c r="BF64" s="110" t="s">
        <v>77</v>
      </c>
      <c r="BG64" s="40" t="s">
        <v>77</v>
      </c>
      <c r="BI64" s="103" t="s">
        <v>77</v>
      </c>
      <c r="BJ64" s="110"/>
      <c r="BS64" s="39" t="s">
        <v>77</v>
      </c>
      <c r="BT64" s="40" t="s">
        <v>77</v>
      </c>
      <c r="BV64" s="23" t="s">
        <v>201</v>
      </c>
      <c r="BX64" s="23" t="s">
        <v>77</v>
      </c>
      <c r="BZ64" s="39" t="s">
        <v>77</v>
      </c>
    </row>
    <row r="65" spans="1:78" x14ac:dyDescent="0.25">
      <c r="A65">
        <v>1354</v>
      </c>
      <c r="B65" t="s">
        <v>59</v>
      </c>
      <c r="C65" t="s">
        <v>36</v>
      </c>
      <c r="D65" t="s">
        <v>211</v>
      </c>
      <c r="E65" s="40">
        <v>36000</v>
      </c>
      <c r="F65" s="39">
        <v>136717</v>
      </c>
      <c r="G65">
        <f t="shared" si="0"/>
        <v>136717</v>
      </c>
      <c r="H65" s="5">
        <v>0</v>
      </c>
      <c r="I65" s="2">
        <v>100</v>
      </c>
      <c r="J65" s="2">
        <v>0</v>
      </c>
      <c r="K65" s="2">
        <v>0</v>
      </c>
      <c r="L65" s="2">
        <v>0</v>
      </c>
      <c r="M65" s="2">
        <v>136717</v>
      </c>
      <c r="N65" s="2">
        <v>0</v>
      </c>
      <c r="O65" s="6">
        <v>0</v>
      </c>
      <c r="P65" s="185"/>
      <c r="T65" s="23" t="s">
        <v>64</v>
      </c>
      <c r="U65" s="23" t="s">
        <v>64</v>
      </c>
      <c r="W65" s="98"/>
      <c r="X65" s="99"/>
      <c r="Y65" s="99"/>
      <c r="Z65" s="99"/>
      <c r="AA65" s="99"/>
      <c r="AB65" s="99"/>
      <c r="AC65" s="99"/>
      <c r="AD65" s="99"/>
      <c r="AE65" s="99"/>
      <c r="AF65" s="99"/>
      <c r="AG65" s="99"/>
      <c r="AH65" s="99"/>
      <c r="AI65" s="99"/>
      <c r="AJ65" s="101" t="s">
        <v>63</v>
      </c>
      <c r="AK65" s="98"/>
      <c r="AL65" s="99"/>
      <c r="AM65" s="99"/>
      <c r="AN65" s="99"/>
      <c r="AO65" s="99"/>
      <c r="AP65" s="99"/>
      <c r="AQ65" s="99"/>
      <c r="AR65" s="99"/>
      <c r="AS65" s="99"/>
      <c r="AT65" s="99"/>
      <c r="AU65" s="99" t="s">
        <v>77</v>
      </c>
      <c r="AX65" s="39" t="s">
        <v>77</v>
      </c>
      <c r="AY65" s="103"/>
      <c r="AZ65" s="22"/>
      <c r="BA65" s="22"/>
      <c r="BB65" s="22"/>
      <c r="BC65" s="22"/>
      <c r="BD65" s="22"/>
      <c r="BE65" s="22"/>
      <c r="BF65" s="110" t="s">
        <v>77</v>
      </c>
      <c r="BG65" s="40" t="s">
        <v>77</v>
      </c>
      <c r="BI65" s="103" t="s">
        <v>77</v>
      </c>
      <c r="BJ65" s="110"/>
      <c r="BS65" s="39" t="s">
        <v>77</v>
      </c>
      <c r="BT65" s="40" t="s">
        <v>77</v>
      </c>
      <c r="BV65" s="23" t="s">
        <v>201</v>
      </c>
      <c r="BX65" s="23" t="s">
        <v>77</v>
      </c>
      <c r="BZ65" s="39" t="s">
        <v>77</v>
      </c>
    </row>
    <row r="66" spans="1:78" x14ac:dyDescent="0.25">
      <c r="A66">
        <v>1361</v>
      </c>
      <c r="B66" t="s">
        <v>58</v>
      </c>
      <c r="C66" t="s">
        <v>36</v>
      </c>
      <c r="D66" t="s">
        <v>211</v>
      </c>
      <c r="E66" s="40">
        <v>500000</v>
      </c>
      <c r="F66" s="39">
        <v>250000</v>
      </c>
      <c r="G66">
        <f t="shared" si="0"/>
        <v>250000</v>
      </c>
      <c r="H66" s="5">
        <v>10</v>
      </c>
      <c r="I66" s="2">
        <v>90</v>
      </c>
      <c r="J66" s="2">
        <v>0</v>
      </c>
      <c r="K66" s="2">
        <v>0</v>
      </c>
      <c r="L66" s="2">
        <v>25000</v>
      </c>
      <c r="M66" s="2">
        <v>225000</v>
      </c>
      <c r="N66" s="2">
        <v>0</v>
      </c>
      <c r="O66" s="6">
        <v>0</v>
      </c>
      <c r="P66" s="185"/>
      <c r="Q66" s="23">
        <v>35</v>
      </c>
      <c r="T66" s="23" t="s">
        <v>89</v>
      </c>
      <c r="U66" s="23" t="s">
        <v>89</v>
      </c>
      <c r="W66" s="40">
        <v>10</v>
      </c>
      <c r="X66" s="23">
        <v>5</v>
      </c>
      <c r="Y66" s="23">
        <v>60</v>
      </c>
      <c r="Z66" s="23">
        <v>20</v>
      </c>
      <c r="AA66" s="23">
        <v>0</v>
      </c>
      <c r="AB66" s="23">
        <v>5</v>
      </c>
      <c r="AC66" s="23">
        <v>2500</v>
      </c>
      <c r="AD66" s="23">
        <v>1250</v>
      </c>
      <c r="AE66" s="23">
        <v>15000</v>
      </c>
      <c r="AF66" s="23">
        <v>5000</v>
      </c>
      <c r="AG66" s="23">
        <v>0</v>
      </c>
      <c r="AH66" s="23">
        <v>1250</v>
      </c>
      <c r="AJ66" s="101" t="s">
        <v>63</v>
      </c>
      <c r="AK66" s="98"/>
      <c r="AL66" s="99"/>
      <c r="AM66" s="99"/>
      <c r="AN66" s="99"/>
      <c r="AO66" s="99"/>
      <c r="AP66" s="99"/>
      <c r="AQ66" s="99"/>
      <c r="AR66" s="99"/>
      <c r="AS66" s="99"/>
      <c r="AT66" s="99"/>
      <c r="AU66" s="99" t="s">
        <v>77</v>
      </c>
      <c r="AX66" s="39" t="s">
        <v>77</v>
      </c>
      <c r="AY66" s="103"/>
      <c r="AZ66" s="22"/>
      <c r="BA66" s="22"/>
      <c r="BB66" s="22"/>
      <c r="BC66" s="22"/>
      <c r="BD66" s="22"/>
      <c r="BE66" s="22"/>
      <c r="BF66" s="110" t="s">
        <v>77</v>
      </c>
      <c r="BG66" s="40" t="s">
        <v>77</v>
      </c>
      <c r="BI66" s="103" t="s">
        <v>77</v>
      </c>
      <c r="BJ66" s="110"/>
      <c r="BS66" s="39" t="s">
        <v>77</v>
      </c>
      <c r="BT66" s="40" t="s">
        <v>89</v>
      </c>
      <c r="BV66" s="23" t="s">
        <v>76</v>
      </c>
      <c r="BX66" s="23" t="s">
        <v>77</v>
      </c>
      <c r="BZ66" s="39" t="s">
        <v>77</v>
      </c>
    </row>
    <row r="67" spans="1:78" x14ac:dyDescent="0.25">
      <c r="A67">
        <v>1362</v>
      </c>
      <c r="B67" t="s">
        <v>58</v>
      </c>
      <c r="C67" t="s">
        <v>36</v>
      </c>
      <c r="D67" t="s">
        <v>211</v>
      </c>
      <c r="E67" s="40">
        <v>230000</v>
      </c>
      <c r="F67" s="39">
        <v>213000</v>
      </c>
      <c r="G67">
        <f t="shared" si="0"/>
        <v>213000</v>
      </c>
      <c r="H67" s="5">
        <v>0</v>
      </c>
      <c r="I67" s="2">
        <v>100</v>
      </c>
      <c r="J67" s="2">
        <v>0</v>
      </c>
      <c r="K67" s="2">
        <v>0</v>
      </c>
      <c r="L67" s="2">
        <v>0</v>
      </c>
      <c r="M67" s="2">
        <v>213000</v>
      </c>
      <c r="N67" s="2">
        <v>0</v>
      </c>
      <c r="O67" s="6">
        <v>0</v>
      </c>
      <c r="P67" s="185"/>
      <c r="Q67" s="23">
        <v>30</v>
      </c>
      <c r="T67" s="23" t="s">
        <v>89</v>
      </c>
      <c r="U67" s="23" t="s">
        <v>89</v>
      </c>
      <c r="W67" s="98"/>
      <c r="X67" s="99"/>
      <c r="Y67" s="99"/>
      <c r="Z67" s="99"/>
      <c r="AA67" s="99"/>
      <c r="AB67" s="99"/>
      <c r="AC67" s="99"/>
      <c r="AD67" s="99"/>
      <c r="AE67" s="99"/>
      <c r="AF67" s="99"/>
      <c r="AG67" s="99"/>
      <c r="AH67" s="99"/>
      <c r="AI67" s="99"/>
      <c r="AJ67" s="101" t="s">
        <v>63</v>
      </c>
      <c r="AK67" s="98"/>
      <c r="AL67" s="99"/>
      <c r="AM67" s="99"/>
      <c r="AN67" s="99"/>
      <c r="AO67" s="99"/>
      <c r="AP67" s="99"/>
      <c r="AQ67" s="99"/>
      <c r="AR67" s="99"/>
      <c r="AS67" s="99"/>
      <c r="AT67" s="99"/>
      <c r="AU67" s="99" t="s">
        <v>77</v>
      </c>
      <c r="AX67" s="39" t="s">
        <v>77</v>
      </c>
      <c r="AY67" s="103"/>
      <c r="AZ67" s="22"/>
      <c r="BA67" s="22"/>
      <c r="BB67" s="22"/>
      <c r="BC67" s="22"/>
      <c r="BD67" s="22"/>
      <c r="BE67" s="22"/>
      <c r="BF67" s="110" t="s">
        <v>77</v>
      </c>
      <c r="BG67" s="40" t="s">
        <v>77</v>
      </c>
      <c r="BI67" s="103" t="s">
        <v>77</v>
      </c>
      <c r="BJ67" s="110"/>
      <c r="BS67" s="39" t="s">
        <v>77</v>
      </c>
      <c r="BT67" s="40" t="s">
        <v>77</v>
      </c>
      <c r="BV67" s="23" t="s">
        <v>201</v>
      </c>
      <c r="BX67" s="23" t="s">
        <v>77</v>
      </c>
      <c r="BZ67" s="39" t="s">
        <v>77</v>
      </c>
    </row>
    <row r="68" spans="1:78" x14ac:dyDescent="0.25">
      <c r="A68">
        <v>1385</v>
      </c>
      <c r="B68" t="s">
        <v>59</v>
      </c>
      <c r="C68" t="s">
        <v>37</v>
      </c>
      <c r="D68" t="s">
        <v>210</v>
      </c>
      <c r="E68" s="40">
        <v>150000</v>
      </c>
      <c r="F68" s="39">
        <v>166123</v>
      </c>
      <c r="G68">
        <f t="shared" ref="G68:G131" si="1">SUM(L68:O68)</f>
        <v>166123</v>
      </c>
      <c r="H68" s="5">
        <v>2</v>
      </c>
      <c r="I68" s="2">
        <v>68</v>
      </c>
      <c r="J68" s="2">
        <v>6</v>
      </c>
      <c r="K68" s="2">
        <v>24</v>
      </c>
      <c r="L68" s="2">
        <v>3322.46</v>
      </c>
      <c r="M68" s="2">
        <v>112963.64</v>
      </c>
      <c r="N68" s="2">
        <v>9967.380000000001</v>
      </c>
      <c r="O68" s="6">
        <v>39869.520000000004</v>
      </c>
      <c r="P68" s="185"/>
      <c r="Q68" s="23">
        <v>21</v>
      </c>
      <c r="R68" s="23">
        <v>21</v>
      </c>
      <c r="S68" s="23">
        <v>21</v>
      </c>
      <c r="T68" s="23" t="s">
        <v>64</v>
      </c>
      <c r="U68" s="23" t="s">
        <v>64</v>
      </c>
      <c r="W68" s="40">
        <v>10</v>
      </c>
      <c r="X68" s="23">
        <v>10</v>
      </c>
      <c r="Y68" s="23">
        <v>10</v>
      </c>
      <c r="Z68" s="23">
        <v>10</v>
      </c>
      <c r="AA68" s="23">
        <v>50</v>
      </c>
      <c r="AB68" s="23">
        <v>10</v>
      </c>
      <c r="AC68" s="23">
        <v>332.24599999999998</v>
      </c>
      <c r="AD68" s="23">
        <v>332.24599999999998</v>
      </c>
      <c r="AE68" s="23">
        <v>332.24599999999998</v>
      </c>
      <c r="AF68" s="23">
        <v>332.24599999999998</v>
      </c>
      <c r="AG68" s="23">
        <v>1661.23</v>
      </c>
      <c r="AH68" s="23">
        <v>332.24599999999998</v>
      </c>
      <c r="AJ68" s="101" t="s">
        <v>64</v>
      </c>
      <c r="AK68" s="40">
        <v>5</v>
      </c>
      <c r="AL68" s="23">
        <v>5</v>
      </c>
      <c r="AM68" s="23">
        <v>5</v>
      </c>
      <c r="AN68" s="23">
        <v>80</v>
      </c>
      <c r="AO68" s="23">
        <v>5</v>
      </c>
      <c r="AP68" s="23">
        <v>498.36900000000009</v>
      </c>
      <c r="AQ68" s="23">
        <v>498.36900000000009</v>
      </c>
      <c r="AR68" s="23">
        <v>498.36900000000009</v>
      </c>
      <c r="AS68" s="23">
        <v>7973.9040000000014</v>
      </c>
      <c r="AT68" s="23">
        <v>498.36900000000009</v>
      </c>
      <c r="AU68" s="23" t="s">
        <v>76</v>
      </c>
      <c r="AW68" s="40">
        <v>1500</v>
      </c>
      <c r="AX68" s="39" t="s">
        <v>76</v>
      </c>
      <c r="AY68" s="103">
        <v>0</v>
      </c>
      <c r="AZ68" s="22"/>
      <c r="BA68" s="22">
        <v>0</v>
      </c>
      <c r="BB68" s="22"/>
      <c r="BC68" s="22">
        <v>0</v>
      </c>
      <c r="BD68" s="22"/>
      <c r="BE68" s="22"/>
      <c r="BF68" s="110" t="s">
        <v>118</v>
      </c>
      <c r="BG68" s="40" t="s">
        <v>63</v>
      </c>
      <c r="BI68" s="103" t="s">
        <v>77</v>
      </c>
      <c r="BJ68" s="110"/>
      <c r="BS68" s="39" t="s">
        <v>77</v>
      </c>
      <c r="BT68" s="40" t="s">
        <v>77</v>
      </c>
      <c r="BV68" s="23" t="s">
        <v>201</v>
      </c>
      <c r="BX68" s="23" t="s">
        <v>77</v>
      </c>
      <c r="BZ68" s="39" t="s">
        <v>77</v>
      </c>
    </row>
    <row r="69" spans="1:78" x14ac:dyDescent="0.25">
      <c r="A69">
        <v>1420</v>
      </c>
      <c r="B69" t="s">
        <v>58</v>
      </c>
      <c r="C69" t="s">
        <v>38</v>
      </c>
      <c r="D69" t="s">
        <v>212</v>
      </c>
      <c r="E69" s="40">
        <v>8000</v>
      </c>
      <c r="F69" s="39">
        <v>6004</v>
      </c>
      <c r="H69" s="178"/>
      <c r="I69" s="177"/>
      <c r="J69" s="177"/>
      <c r="K69" s="177"/>
      <c r="L69" s="177"/>
      <c r="M69" s="177"/>
      <c r="N69" s="177"/>
      <c r="O69" s="179"/>
      <c r="P69" s="185"/>
      <c r="Q69" s="23">
        <v>39.5</v>
      </c>
      <c r="T69" s="23" t="s">
        <v>89</v>
      </c>
      <c r="U69" s="23" t="s">
        <v>89</v>
      </c>
      <c r="W69" s="98"/>
      <c r="X69" s="99"/>
      <c r="Y69" s="99"/>
      <c r="Z69" s="99"/>
      <c r="AA69" s="99"/>
      <c r="AB69" s="99"/>
      <c r="AC69" s="99"/>
      <c r="AD69" s="99"/>
      <c r="AE69" s="99"/>
      <c r="AF69" s="99"/>
      <c r="AG69" s="99"/>
      <c r="AH69" s="99"/>
      <c r="AI69" s="99"/>
      <c r="AJ69" s="101" t="s">
        <v>63</v>
      </c>
      <c r="AK69" s="98"/>
      <c r="AL69" s="99"/>
      <c r="AM69" s="99"/>
      <c r="AN69" s="99"/>
      <c r="AO69" s="99"/>
      <c r="AP69" s="99"/>
      <c r="AQ69" s="99"/>
      <c r="AR69" s="99"/>
      <c r="AS69" s="99"/>
      <c r="AT69" s="99"/>
      <c r="AU69" s="99" t="s">
        <v>77</v>
      </c>
      <c r="AX69" s="39" t="s">
        <v>77</v>
      </c>
      <c r="AY69" s="103"/>
      <c r="AZ69" s="22"/>
      <c r="BA69" s="22"/>
      <c r="BB69" s="22"/>
      <c r="BC69" s="22"/>
      <c r="BD69" s="22"/>
      <c r="BE69" s="22"/>
      <c r="BF69" s="110" t="s">
        <v>77</v>
      </c>
      <c r="BG69" s="40" t="s">
        <v>77</v>
      </c>
      <c r="BI69" s="103" t="s">
        <v>77</v>
      </c>
      <c r="BJ69" s="110"/>
      <c r="BS69" s="39" t="s">
        <v>77</v>
      </c>
      <c r="BT69" s="40" t="s">
        <v>90</v>
      </c>
      <c r="BV69" s="23" t="s">
        <v>76</v>
      </c>
      <c r="BX69" s="23" t="s">
        <v>77</v>
      </c>
      <c r="BZ69" s="39" t="s">
        <v>77</v>
      </c>
    </row>
    <row r="70" spans="1:78" x14ac:dyDescent="0.25">
      <c r="A70">
        <v>1421</v>
      </c>
      <c r="B70" t="s">
        <v>58</v>
      </c>
      <c r="C70" t="s">
        <v>38</v>
      </c>
      <c r="D70" t="s">
        <v>212</v>
      </c>
      <c r="E70" s="40">
        <v>175000</v>
      </c>
      <c r="F70" s="39">
        <v>161000</v>
      </c>
      <c r="H70" s="178"/>
      <c r="I70" s="177"/>
      <c r="J70" s="177"/>
      <c r="K70" s="177"/>
      <c r="L70" s="177"/>
      <c r="M70" s="177"/>
      <c r="N70" s="177"/>
      <c r="O70" s="179"/>
      <c r="P70" s="185"/>
      <c r="T70" s="23" t="s">
        <v>77</v>
      </c>
      <c r="U70" s="23" t="s">
        <v>77</v>
      </c>
      <c r="W70" s="98"/>
      <c r="X70" s="99"/>
      <c r="Y70" s="99"/>
      <c r="Z70" s="99"/>
      <c r="AA70" s="99"/>
      <c r="AB70" s="99"/>
      <c r="AC70" s="99"/>
      <c r="AD70" s="99"/>
      <c r="AE70" s="99"/>
      <c r="AF70" s="99"/>
      <c r="AG70" s="99"/>
      <c r="AH70" s="99"/>
      <c r="AI70" s="99"/>
      <c r="AJ70" s="101" t="s">
        <v>77</v>
      </c>
      <c r="AK70" s="98"/>
      <c r="AL70" s="99"/>
      <c r="AM70" s="99"/>
      <c r="AN70" s="99"/>
      <c r="AO70" s="99"/>
      <c r="AP70" s="99"/>
      <c r="AQ70" s="99"/>
      <c r="AR70" s="99"/>
      <c r="AS70" s="99"/>
      <c r="AT70" s="99"/>
      <c r="AU70" s="99" t="s">
        <v>77</v>
      </c>
      <c r="AX70" s="39" t="s">
        <v>77</v>
      </c>
      <c r="AY70" s="103"/>
      <c r="AZ70" s="22"/>
      <c r="BA70" s="22"/>
      <c r="BB70" s="22"/>
      <c r="BC70" s="22"/>
      <c r="BD70" s="22"/>
      <c r="BE70" s="22"/>
      <c r="BF70" s="110" t="s">
        <v>77</v>
      </c>
      <c r="BG70" s="40" t="s">
        <v>77</v>
      </c>
      <c r="BI70" s="103" t="s">
        <v>77</v>
      </c>
      <c r="BJ70" s="110"/>
      <c r="BS70" s="39" t="s">
        <v>77</v>
      </c>
      <c r="BT70" s="40" t="s">
        <v>77</v>
      </c>
      <c r="BV70" s="23" t="s">
        <v>201</v>
      </c>
      <c r="BX70" s="23" t="s">
        <v>77</v>
      </c>
      <c r="BZ70" s="39" t="s">
        <v>77</v>
      </c>
    </row>
    <row r="71" spans="1:78" x14ac:dyDescent="0.25">
      <c r="A71">
        <v>1483</v>
      </c>
      <c r="B71" t="s">
        <v>59</v>
      </c>
      <c r="C71" t="s">
        <v>39</v>
      </c>
      <c r="D71" t="s">
        <v>211</v>
      </c>
      <c r="E71" s="40">
        <v>47500</v>
      </c>
      <c r="F71" s="39">
        <v>69000</v>
      </c>
      <c r="G71">
        <f t="shared" si="1"/>
        <v>69000</v>
      </c>
      <c r="H71" s="5">
        <v>0</v>
      </c>
      <c r="I71" s="2">
        <v>80</v>
      </c>
      <c r="J71" s="2">
        <v>20</v>
      </c>
      <c r="K71" s="2">
        <v>0</v>
      </c>
      <c r="L71" s="2">
        <v>0</v>
      </c>
      <c r="M71" s="2">
        <v>55200</v>
      </c>
      <c r="N71" s="2">
        <v>13800</v>
      </c>
      <c r="O71" s="6">
        <v>0</v>
      </c>
      <c r="P71" s="185"/>
      <c r="Q71" s="23">
        <v>44</v>
      </c>
      <c r="R71" s="23">
        <v>21</v>
      </c>
      <c r="S71" s="23">
        <v>21</v>
      </c>
      <c r="T71" s="23" t="s">
        <v>89</v>
      </c>
      <c r="U71" s="23" t="s">
        <v>89</v>
      </c>
      <c r="W71" s="104"/>
      <c r="X71" s="105"/>
      <c r="Y71" s="105"/>
      <c r="Z71" s="105"/>
      <c r="AA71" s="105"/>
      <c r="AB71" s="105"/>
      <c r="AC71" s="105"/>
      <c r="AD71" s="105"/>
      <c r="AE71" s="105"/>
      <c r="AF71" s="105"/>
      <c r="AG71" s="105"/>
      <c r="AH71" s="105"/>
      <c r="AI71" s="105"/>
      <c r="AJ71" s="101" t="s">
        <v>64</v>
      </c>
      <c r="AK71" s="40">
        <v>80</v>
      </c>
      <c r="AL71" s="23">
        <v>5</v>
      </c>
      <c r="AM71" s="23">
        <v>0</v>
      </c>
      <c r="AN71" s="23">
        <v>15</v>
      </c>
      <c r="AO71" s="23">
        <v>0</v>
      </c>
      <c r="AP71" s="23">
        <v>11040</v>
      </c>
      <c r="AQ71" s="23">
        <v>690</v>
      </c>
      <c r="AR71" s="23">
        <v>0</v>
      </c>
      <c r="AS71" s="23">
        <v>2070</v>
      </c>
      <c r="AT71" s="23">
        <v>0</v>
      </c>
      <c r="AU71" s="23" t="s">
        <v>76</v>
      </c>
      <c r="AW71" s="40">
        <v>0</v>
      </c>
      <c r="AX71" s="39" t="s">
        <v>118</v>
      </c>
      <c r="AY71" s="103"/>
      <c r="AZ71" s="22">
        <v>7200</v>
      </c>
      <c r="BA71" s="22"/>
      <c r="BB71" s="22"/>
      <c r="BC71" s="22"/>
      <c r="BD71" s="22"/>
      <c r="BE71" s="22"/>
      <c r="BF71" s="110" t="s">
        <v>118</v>
      </c>
      <c r="BG71" s="40" t="s">
        <v>158</v>
      </c>
      <c r="BH71" s="39" t="s">
        <v>236</v>
      </c>
      <c r="BI71" s="103" t="s">
        <v>77</v>
      </c>
      <c r="BJ71" s="110"/>
      <c r="BR71" s="23" t="s">
        <v>64</v>
      </c>
      <c r="BS71" s="39" t="s">
        <v>76</v>
      </c>
      <c r="BT71" s="40" t="s">
        <v>77</v>
      </c>
      <c r="BV71" s="23" t="s">
        <v>201</v>
      </c>
      <c r="BX71" s="23" t="s">
        <v>77</v>
      </c>
      <c r="BZ71" s="39" t="s">
        <v>77</v>
      </c>
    </row>
    <row r="72" spans="1:78" x14ac:dyDescent="0.25">
      <c r="A72">
        <v>1488</v>
      </c>
      <c r="B72" t="s">
        <v>59</v>
      </c>
      <c r="C72" t="s">
        <v>39</v>
      </c>
      <c r="D72" t="s">
        <v>211</v>
      </c>
      <c r="E72" s="40">
        <v>55000</v>
      </c>
      <c r="F72" s="39">
        <v>38843</v>
      </c>
      <c r="G72">
        <f t="shared" si="1"/>
        <v>38843.000000000007</v>
      </c>
      <c r="H72" s="5">
        <v>1</v>
      </c>
      <c r="I72" s="2">
        <v>85</v>
      </c>
      <c r="J72" s="2">
        <v>10</v>
      </c>
      <c r="K72" s="2">
        <v>4</v>
      </c>
      <c r="L72" s="2">
        <v>388.43</v>
      </c>
      <c r="M72" s="2">
        <v>33016.550000000003</v>
      </c>
      <c r="N72" s="2">
        <v>3884.3</v>
      </c>
      <c r="O72" s="6">
        <v>1553.72</v>
      </c>
      <c r="P72" s="185"/>
      <c r="Q72" s="23">
        <v>48</v>
      </c>
      <c r="T72" s="23" t="s">
        <v>89</v>
      </c>
      <c r="U72" s="23" t="s">
        <v>89</v>
      </c>
      <c r="W72" s="40">
        <v>4</v>
      </c>
      <c r="X72" s="23">
        <v>4</v>
      </c>
      <c r="Y72" s="23">
        <v>15</v>
      </c>
      <c r="Z72" s="23">
        <v>50</v>
      </c>
      <c r="AA72" s="23">
        <v>3</v>
      </c>
      <c r="AB72" s="23">
        <v>24</v>
      </c>
      <c r="AC72" s="23">
        <v>15.5372</v>
      </c>
      <c r="AD72" s="23">
        <v>15.5372</v>
      </c>
      <c r="AE72" s="23">
        <v>58.264499999999998</v>
      </c>
      <c r="AF72" s="23">
        <v>194.215</v>
      </c>
      <c r="AG72" s="23">
        <v>11.652900000000001</v>
      </c>
      <c r="AH72" s="23">
        <v>93.223200000000006</v>
      </c>
      <c r="AJ72" s="101" t="s">
        <v>64</v>
      </c>
      <c r="AK72" s="40">
        <v>15</v>
      </c>
      <c r="AL72" s="23">
        <v>3</v>
      </c>
      <c r="AM72" s="23">
        <v>7</v>
      </c>
      <c r="AN72" s="23">
        <v>75</v>
      </c>
      <c r="AO72" s="23">
        <v>0</v>
      </c>
      <c r="AP72" s="23">
        <v>582.64499999999998</v>
      </c>
      <c r="AQ72" s="23">
        <v>116.52900000000001</v>
      </c>
      <c r="AR72" s="23">
        <v>271.90100000000001</v>
      </c>
      <c r="AS72" s="23">
        <v>2913.2249999999999</v>
      </c>
      <c r="AT72" s="23">
        <v>0</v>
      </c>
      <c r="AU72" s="23" t="s">
        <v>76</v>
      </c>
      <c r="AW72" s="40">
        <v>10</v>
      </c>
      <c r="AX72" s="39" t="s">
        <v>76</v>
      </c>
      <c r="AY72" s="103"/>
      <c r="AZ72" s="22"/>
      <c r="BA72" s="22"/>
      <c r="BB72" s="22"/>
      <c r="BC72" s="22"/>
      <c r="BD72" s="22"/>
      <c r="BE72" s="22" t="s">
        <v>64</v>
      </c>
      <c r="BF72" s="110" t="s">
        <v>76</v>
      </c>
      <c r="BG72" s="40" t="s">
        <v>158</v>
      </c>
      <c r="BI72" s="103" t="s">
        <v>89</v>
      </c>
      <c r="BJ72" s="110">
        <v>0</v>
      </c>
      <c r="BR72" s="23" t="s">
        <v>64</v>
      </c>
      <c r="BS72" s="39" t="s">
        <v>76</v>
      </c>
      <c r="BT72" s="40" t="s">
        <v>89</v>
      </c>
      <c r="BU72" s="23">
        <v>200</v>
      </c>
      <c r="BV72" s="23" t="s">
        <v>76</v>
      </c>
      <c r="BW72" s="23">
        <v>200</v>
      </c>
      <c r="BX72" s="23" t="s">
        <v>76</v>
      </c>
      <c r="BY72" s="23">
        <v>100</v>
      </c>
      <c r="BZ72" s="39" t="s">
        <v>76</v>
      </c>
    </row>
    <row r="73" spans="1:78" x14ac:dyDescent="0.25">
      <c r="A73">
        <v>1491</v>
      </c>
      <c r="B73" t="s">
        <v>59</v>
      </c>
      <c r="C73" t="s">
        <v>39</v>
      </c>
      <c r="D73" t="s">
        <v>211</v>
      </c>
      <c r="E73" s="40">
        <v>10000</v>
      </c>
      <c r="F73" s="39">
        <v>12500</v>
      </c>
      <c r="G73">
        <f t="shared" si="1"/>
        <v>12500</v>
      </c>
      <c r="H73" s="5">
        <v>21.259842519685041</v>
      </c>
      <c r="I73" s="2">
        <v>78.740157480314963</v>
      </c>
      <c r="J73" s="2">
        <v>0</v>
      </c>
      <c r="K73" s="2">
        <v>0</v>
      </c>
      <c r="L73" s="2">
        <v>2657.48031496063</v>
      </c>
      <c r="M73" s="2">
        <v>9842.5196850393695</v>
      </c>
      <c r="N73" s="2">
        <v>0</v>
      </c>
      <c r="O73" s="6">
        <v>0</v>
      </c>
      <c r="P73" s="185"/>
      <c r="Q73" s="23">
        <v>74</v>
      </c>
      <c r="T73" s="23" t="s">
        <v>64</v>
      </c>
      <c r="U73" s="23" t="s">
        <v>64</v>
      </c>
      <c r="W73" s="98"/>
      <c r="X73" s="99"/>
      <c r="Y73" s="99"/>
      <c r="Z73" s="99"/>
      <c r="AA73" s="99"/>
      <c r="AB73" s="99"/>
      <c r="AC73" s="99"/>
      <c r="AD73" s="99"/>
      <c r="AE73" s="99"/>
      <c r="AF73" s="99"/>
      <c r="AG73" s="99"/>
      <c r="AH73" s="99"/>
      <c r="AI73" s="99"/>
      <c r="AJ73" s="101" t="s">
        <v>63</v>
      </c>
      <c r="AK73" s="98"/>
      <c r="AL73" s="99"/>
      <c r="AM73" s="99"/>
      <c r="AN73" s="99"/>
      <c r="AO73" s="99"/>
      <c r="AP73" s="99"/>
      <c r="AQ73" s="99"/>
      <c r="AR73" s="99"/>
      <c r="AS73" s="99"/>
      <c r="AT73" s="99"/>
      <c r="AU73" s="99" t="s">
        <v>77</v>
      </c>
      <c r="AX73" s="39" t="s">
        <v>77</v>
      </c>
      <c r="AY73" s="103"/>
      <c r="AZ73" s="22"/>
      <c r="BA73" s="22"/>
      <c r="BB73" s="22"/>
      <c r="BC73" s="22"/>
      <c r="BD73" s="22"/>
      <c r="BE73" s="22" t="s">
        <v>64</v>
      </c>
      <c r="BF73" s="110" t="s">
        <v>76</v>
      </c>
      <c r="BG73" s="40" t="s">
        <v>77</v>
      </c>
      <c r="BI73" s="103" t="s">
        <v>77</v>
      </c>
      <c r="BJ73" s="110"/>
      <c r="BS73" s="39" t="s">
        <v>77</v>
      </c>
      <c r="BT73" s="40" t="s">
        <v>90</v>
      </c>
      <c r="BV73" s="23" t="s">
        <v>76</v>
      </c>
      <c r="BX73" s="23" t="s">
        <v>77</v>
      </c>
      <c r="BZ73" s="39" t="s">
        <v>77</v>
      </c>
    </row>
    <row r="74" spans="1:78" x14ac:dyDescent="0.25">
      <c r="A74">
        <v>1493</v>
      </c>
      <c r="B74" t="s">
        <v>59</v>
      </c>
      <c r="C74" t="s">
        <v>39</v>
      </c>
      <c r="D74" t="s">
        <v>211</v>
      </c>
      <c r="E74" s="40">
        <v>268638</v>
      </c>
      <c r="F74" s="39">
        <v>291012</v>
      </c>
      <c r="G74">
        <f t="shared" si="1"/>
        <v>291012</v>
      </c>
      <c r="H74" s="5">
        <v>1.5689247570868214</v>
      </c>
      <c r="I74" s="2">
        <v>96.701379520722256</v>
      </c>
      <c r="J74" s="2">
        <v>1.7296957221909246</v>
      </c>
      <c r="K74" s="2">
        <v>0</v>
      </c>
      <c r="L74" s="2">
        <v>4565.7593140935005</v>
      </c>
      <c r="M74" s="2">
        <v>281412.61857084424</v>
      </c>
      <c r="N74" s="2">
        <v>5033.6221150622532</v>
      </c>
      <c r="O74" s="6">
        <v>0</v>
      </c>
      <c r="P74" s="185"/>
      <c r="Q74" s="23">
        <v>37</v>
      </c>
      <c r="R74" s="23">
        <v>11</v>
      </c>
      <c r="S74" s="23">
        <v>11</v>
      </c>
      <c r="T74" s="23" t="s">
        <v>64</v>
      </c>
      <c r="U74" s="23" t="s">
        <v>64</v>
      </c>
      <c r="V74" s="39" t="s">
        <v>98</v>
      </c>
      <c r="W74" s="98"/>
      <c r="X74" s="99"/>
      <c r="Y74" s="99"/>
      <c r="Z74" s="99"/>
      <c r="AA74" s="99"/>
      <c r="AB74" s="99"/>
      <c r="AC74" s="99"/>
      <c r="AD74" s="99"/>
      <c r="AE74" s="99"/>
      <c r="AF74" s="99"/>
      <c r="AG74" s="99"/>
      <c r="AH74" s="99"/>
      <c r="AI74" s="99"/>
      <c r="AJ74" s="101" t="s">
        <v>64</v>
      </c>
      <c r="AK74" s="40">
        <v>0</v>
      </c>
      <c r="AL74" s="23">
        <v>0</v>
      </c>
      <c r="AM74" s="23">
        <v>0</v>
      </c>
      <c r="AN74" s="23">
        <v>100</v>
      </c>
      <c r="AO74" s="23">
        <v>0</v>
      </c>
      <c r="AP74" s="23">
        <v>0</v>
      </c>
      <c r="AQ74" s="23">
        <v>0</v>
      </c>
      <c r="AR74" s="23">
        <v>0</v>
      </c>
      <c r="AS74" s="23">
        <v>5033.6221150622532</v>
      </c>
      <c r="AT74" s="23">
        <v>0</v>
      </c>
      <c r="AU74" s="23" t="s">
        <v>76</v>
      </c>
      <c r="AX74" s="39" t="s">
        <v>77</v>
      </c>
      <c r="AY74" s="103"/>
      <c r="AZ74" s="22"/>
      <c r="BA74" s="22"/>
      <c r="BB74" s="22"/>
      <c r="BC74" s="22">
        <v>0</v>
      </c>
      <c r="BD74" s="22">
        <v>87.52</v>
      </c>
      <c r="BE74" s="22"/>
      <c r="BF74" s="110" t="s">
        <v>118</v>
      </c>
      <c r="BG74" s="40" t="s">
        <v>63</v>
      </c>
      <c r="BI74" s="103" t="s">
        <v>77</v>
      </c>
      <c r="BJ74" s="110"/>
      <c r="BR74" s="23" t="s">
        <v>64</v>
      </c>
      <c r="BS74" s="39" t="s">
        <v>65</v>
      </c>
      <c r="BT74" s="40" t="s">
        <v>90</v>
      </c>
      <c r="BV74" s="23" t="s">
        <v>76</v>
      </c>
      <c r="BX74" s="23" t="s">
        <v>77</v>
      </c>
      <c r="BZ74" s="39" t="s">
        <v>77</v>
      </c>
    </row>
    <row r="75" spans="1:78" x14ac:dyDescent="0.25">
      <c r="A75">
        <v>1496</v>
      </c>
      <c r="B75" t="s">
        <v>59</v>
      </c>
      <c r="C75" t="s">
        <v>39</v>
      </c>
      <c r="D75" t="s">
        <v>211</v>
      </c>
      <c r="E75" s="40">
        <v>17000</v>
      </c>
      <c r="F75" s="39">
        <v>12000</v>
      </c>
      <c r="G75">
        <f t="shared" si="1"/>
        <v>12000</v>
      </c>
      <c r="H75" s="5">
        <v>6</v>
      </c>
      <c r="I75" s="2">
        <v>90</v>
      </c>
      <c r="J75" s="2">
        <v>1</v>
      </c>
      <c r="K75" s="2">
        <v>3</v>
      </c>
      <c r="L75" s="2">
        <v>720</v>
      </c>
      <c r="M75" s="2">
        <v>10800</v>
      </c>
      <c r="N75" s="2">
        <v>120</v>
      </c>
      <c r="O75" s="6">
        <v>360</v>
      </c>
      <c r="P75" s="185"/>
      <c r="Q75" s="23">
        <v>47</v>
      </c>
      <c r="R75" s="23">
        <v>20</v>
      </c>
      <c r="S75" s="23">
        <v>35</v>
      </c>
      <c r="T75" s="23" t="s">
        <v>64</v>
      </c>
      <c r="U75" s="23" t="s">
        <v>64</v>
      </c>
      <c r="V75" s="39" t="s">
        <v>99</v>
      </c>
      <c r="W75" s="40">
        <v>10</v>
      </c>
      <c r="X75" s="23">
        <v>5</v>
      </c>
      <c r="Y75" s="23">
        <v>40</v>
      </c>
      <c r="Z75" s="23">
        <v>12.5</v>
      </c>
      <c r="AA75" s="23">
        <v>12.5</v>
      </c>
      <c r="AB75" s="23">
        <v>20</v>
      </c>
      <c r="AC75" s="23">
        <v>72</v>
      </c>
      <c r="AD75" s="23">
        <v>36</v>
      </c>
      <c r="AE75" s="23">
        <v>288</v>
      </c>
      <c r="AF75" s="23">
        <v>90</v>
      </c>
      <c r="AG75" s="23">
        <v>90</v>
      </c>
      <c r="AH75" s="23">
        <v>144</v>
      </c>
      <c r="AJ75" s="101" t="s">
        <v>63</v>
      </c>
      <c r="AK75" s="98"/>
      <c r="AL75" s="99"/>
      <c r="AM75" s="99"/>
      <c r="AN75" s="99"/>
      <c r="AO75" s="99"/>
      <c r="AP75" s="99"/>
      <c r="AQ75" s="99"/>
      <c r="AR75" s="99"/>
      <c r="AS75" s="99"/>
      <c r="AT75" s="99"/>
      <c r="AU75" s="99" t="s">
        <v>77</v>
      </c>
      <c r="AX75" s="39" t="s">
        <v>77</v>
      </c>
      <c r="AY75" s="103"/>
      <c r="AZ75" s="22"/>
      <c r="BA75" s="22"/>
      <c r="BB75" s="22"/>
      <c r="BC75" s="22"/>
      <c r="BD75" s="22"/>
      <c r="BE75" s="22"/>
      <c r="BF75" s="110" t="s">
        <v>77</v>
      </c>
      <c r="BG75" s="40" t="s">
        <v>77</v>
      </c>
      <c r="BI75" s="103" t="s">
        <v>77</v>
      </c>
      <c r="BJ75" s="110"/>
      <c r="BS75" s="39" t="s">
        <v>77</v>
      </c>
      <c r="BT75" s="40" t="s">
        <v>89</v>
      </c>
      <c r="BU75" s="23">
        <f>250*8</f>
        <v>2000</v>
      </c>
      <c r="BV75" s="23" t="s">
        <v>76</v>
      </c>
      <c r="BW75" s="23">
        <f>250*8</f>
        <v>2000</v>
      </c>
      <c r="BX75" s="23" t="s">
        <v>76</v>
      </c>
      <c r="BZ75" s="39" t="s">
        <v>76</v>
      </c>
    </row>
    <row r="76" spans="1:78" x14ac:dyDescent="0.25">
      <c r="A76">
        <v>1497</v>
      </c>
      <c r="B76" t="s">
        <v>58</v>
      </c>
      <c r="C76" t="s">
        <v>39</v>
      </c>
      <c r="D76" t="s">
        <v>211</v>
      </c>
      <c r="E76" s="40">
        <v>22500</v>
      </c>
      <c r="F76" s="39">
        <v>17000</v>
      </c>
      <c r="G76">
        <f t="shared" si="1"/>
        <v>17000</v>
      </c>
      <c r="H76" s="5">
        <v>4.4117647058823533</v>
      </c>
      <c r="I76" s="2">
        <v>83.529411764705884</v>
      </c>
      <c r="J76" s="2">
        <v>0.88235294117647056</v>
      </c>
      <c r="K76" s="2">
        <v>11.176470588235295</v>
      </c>
      <c r="L76" s="2">
        <v>750</v>
      </c>
      <c r="M76" s="2">
        <v>14200</v>
      </c>
      <c r="N76" s="2">
        <v>150</v>
      </c>
      <c r="O76" s="6">
        <v>1900.0000000000002</v>
      </c>
      <c r="P76" s="185"/>
      <c r="Q76" s="23">
        <v>37</v>
      </c>
      <c r="R76" s="23">
        <v>20</v>
      </c>
      <c r="S76" s="23">
        <v>20</v>
      </c>
      <c r="T76" s="23" t="s">
        <v>89</v>
      </c>
      <c r="U76" s="23" t="s">
        <v>89</v>
      </c>
      <c r="W76" s="40">
        <v>0</v>
      </c>
      <c r="X76" s="23">
        <v>4</v>
      </c>
      <c r="Y76" s="23">
        <v>66.666666666666657</v>
      </c>
      <c r="Z76" s="23">
        <v>6.666666666666667</v>
      </c>
      <c r="AA76" s="23">
        <v>0</v>
      </c>
      <c r="AB76" s="23">
        <v>22.666666666666664</v>
      </c>
      <c r="AC76" s="23">
        <v>0</v>
      </c>
      <c r="AD76" s="23">
        <v>30</v>
      </c>
      <c r="AE76" s="23">
        <v>499.99999999999994</v>
      </c>
      <c r="AF76" s="23">
        <v>50</v>
      </c>
      <c r="AG76" s="23">
        <v>0</v>
      </c>
      <c r="AH76" s="23">
        <v>170</v>
      </c>
      <c r="AJ76" s="101" t="s">
        <v>64</v>
      </c>
      <c r="AK76" s="40">
        <v>13.333333333333334</v>
      </c>
      <c r="AL76" s="23">
        <v>6.666666666666667</v>
      </c>
      <c r="AM76" s="23">
        <v>33.333333333333329</v>
      </c>
      <c r="AN76" s="23">
        <v>46.666666666666664</v>
      </c>
      <c r="AO76" s="23">
        <v>0</v>
      </c>
      <c r="AP76" s="23">
        <v>20</v>
      </c>
      <c r="AQ76" s="23">
        <v>10</v>
      </c>
      <c r="AR76" s="23">
        <v>49.999999999999993</v>
      </c>
      <c r="AS76" s="23">
        <v>70</v>
      </c>
      <c r="AT76" s="23">
        <v>0</v>
      </c>
      <c r="AU76" s="23" t="s">
        <v>76</v>
      </c>
      <c r="AW76" s="40">
        <v>30</v>
      </c>
      <c r="AX76" s="39" t="s">
        <v>76</v>
      </c>
      <c r="AY76" s="103"/>
      <c r="AZ76" s="22"/>
      <c r="BA76" s="22"/>
      <c r="BB76" s="22"/>
      <c r="BC76" s="22"/>
      <c r="BD76" s="22"/>
      <c r="BE76" s="22"/>
      <c r="BF76" s="110" t="s">
        <v>77</v>
      </c>
      <c r="BG76" s="40" t="s">
        <v>63</v>
      </c>
      <c r="BI76" s="103" t="s">
        <v>77</v>
      </c>
      <c r="BJ76" s="110"/>
      <c r="BS76" s="39" t="s">
        <v>77</v>
      </c>
      <c r="BT76" s="40" t="s">
        <v>90</v>
      </c>
      <c r="BV76" s="23" t="s">
        <v>76</v>
      </c>
      <c r="BX76" s="23" t="s">
        <v>77</v>
      </c>
      <c r="BZ76" s="39" t="s">
        <v>77</v>
      </c>
    </row>
    <row r="77" spans="1:78" x14ac:dyDescent="0.25">
      <c r="A77">
        <v>1503</v>
      </c>
      <c r="B77" t="s">
        <v>58</v>
      </c>
      <c r="C77" t="s">
        <v>40</v>
      </c>
      <c r="D77" t="s">
        <v>210</v>
      </c>
      <c r="E77" s="40">
        <v>120000</v>
      </c>
      <c r="F77" s="39">
        <v>86622</v>
      </c>
      <c r="G77">
        <f t="shared" si="1"/>
        <v>86622</v>
      </c>
      <c r="H77" s="5">
        <v>10</v>
      </c>
      <c r="I77" s="2">
        <v>89</v>
      </c>
      <c r="J77" s="2">
        <v>1</v>
      </c>
      <c r="K77" s="2">
        <v>0</v>
      </c>
      <c r="L77" s="2">
        <v>8662.2000000000007</v>
      </c>
      <c r="M77" s="2">
        <v>77093.58</v>
      </c>
      <c r="N77" s="2">
        <v>866.22</v>
      </c>
      <c r="O77" s="6">
        <v>0</v>
      </c>
      <c r="P77" s="185"/>
      <c r="Q77" s="23">
        <v>48</v>
      </c>
      <c r="R77" s="23">
        <v>48</v>
      </c>
      <c r="S77" s="23">
        <v>48</v>
      </c>
      <c r="T77" s="23" t="s">
        <v>89</v>
      </c>
      <c r="U77" s="23" t="s">
        <v>89</v>
      </c>
      <c r="W77" s="40">
        <v>5</v>
      </c>
      <c r="X77" s="23">
        <v>5</v>
      </c>
      <c r="Y77" s="23">
        <v>5</v>
      </c>
      <c r="Z77" s="23">
        <v>10</v>
      </c>
      <c r="AA77" s="23">
        <v>5</v>
      </c>
      <c r="AB77" s="23">
        <v>70</v>
      </c>
      <c r="AC77" s="23">
        <v>433.11</v>
      </c>
      <c r="AD77" s="23">
        <v>433.11</v>
      </c>
      <c r="AE77" s="23">
        <v>433.11</v>
      </c>
      <c r="AF77" s="23">
        <v>866.22</v>
      </c>
      <c r="AG77" s="23">
        <v>433.11</v>
      </c>
      <c r="AH77" s="23">
        <v>6063.54</v>
      </c>
      <c r="AJ77" s="101" t="s">
        <v>64</v>
      </c>
      <c r="AK77" s="40">
        <v>5</v>
      </c>
      <c r="AL77" s="23">
        <v>5</v>
      </c>
      <c r="AM77" s="23">
        <v>5</v>
      </c>
      <c r="AN77" s="23">
        <v>10</v>
      </c>
      <c r="AO77" s="23">
        <v>75</v>
      </c>
      <c r="AP77" s="23">
        <v>43.311000000000007</v>
      </c>
      <c r="AQ77" s="23">
        <v>43.311000000000007</v>
      </c>
      <c r="AR77" s="23">
        <v>43.311000000000007</v>
      </c>
      <c r="AS77" s="23">
        <v>86.622000000000014</v>
      </c>
      <c r="AT77" s="23">
        <v>649.66499999999996</v>
      </c>
      <c r="AU77" s="23" t="s">
        <v>76</v>
      </c>
      <c r="AW77" s="40">
        <v>0</v>
      </c>
      <c r="AX77" s="39" t="s">
        <v>118</v>
      </c>
      <c r="AY77" s="103"/>
      <c r="AZ77" s="22"/>
      <c r="BA77" s="22"/>
      <c r="BB77" s="22"/>
      <c r="BC77" s="22"/>
      <c r="BD77" s="22"/>
      <c r="BE77" s="22"/>
      <c r="BF77" s="110" t="s">
        <v>77</v>
      </c>
      <c r="BG77" s="40" t="s">
        <v>158</v>
      </c>
      <c r="BH77" s="39" t="s">
        <v>247</v>
      </c>
      <c r="BI77" s="103" t="s">
        <v>89</v>
      </c>
      <c r="BJ77" s="110">
        <v>-86</v>
      </c>
      <c r="BS77" s="39" t="s">
        <v>77</v>
      </c>
      <c r="BT77" s="40" t="s">
        <v>90</v>
      </c>
      <c r="BV77" s="23" t="s">
        <v>76</v>
      </c>
      <c r="BX77" s="23" t="s">
        <v>77</v>
      </c>
      <c r="BZ77" s="39" t="s">
        <v>77</v>
      </c>
    </row>
    <row r="78" spans="1:78" x14ac:dyDescent="0.25">
      <c r="A78">
        <v>1515</v>
      </c>
      <c r="B78" t="s">
        <v>58</v>
      </c>
      <c r="C78" t="s">
        <v>40</v>
      </c>
      <c r="D78" t="s">
        <v>210</v>
      </c>
      <c r="E78" s="40">
        <v>95110</v>
      </c>
      <c r="F78" s="39">
        <v>181767</v>
      </c>
      <c r="H78" s="178"/>
      <c r="I78" s="177"/>
      <c r="J78" s="177"/>
      <c r="K78" s="177"/>
      <c r="L78" s="177"/>
      <c r="M78" s="177"/>
      <c r="N78" s="177"/>
      <c r="O78" s="179"/>
      <c r="P78" s="185"/>
      <c r="T78" s="23" t="s">
        <v>77</v>
      </c>
      <c r="U78" s="23" t="s">
        <v>77</v>
      </c>
      <c r="W78" s="98"/>
      <c r="X78" s="99"/>
      <c r="Y78" s="99"/>
      <c r="Z78" s="99"/>
      <c r="AA78" s="99"/>
      <c r="AB78" s="99"/>
      <c r="AC78" s="99"/>
      <c r="AD78" s="99"/>
      <c r="AE78" s="99"/>
      <c r="AF78" s="99"/>
      <c r="AG78" s="99"/>
      <c r="AH78" s="99"/>
      <c r="AI78" s="99"/>
      <c r="AJ78" s="101" t="s">
        <v>77</v>
      </c>
      <c r="AK78" s="98"/>
      <c r="AL78" s="99"/>
      <c r="AM78" s="99"/>
      <c r="AN78" s="99"/>
      <c r="AO78" s="99"/>
      <c r="AP78" s="99"/>
      <c r="AQ78" s="99"/>
      <c r="AR78" s="99"/>
      <c r="AS78" s="99"/>
      <c r="AT78" s="99"/>
      <c r="AU78" s="99" t="s">
        <v>77</v>
      </c>
      <c r="AX78" s="39" t="s">
        <v>77</v>
      </c>
      <c r="AY78" s="103"/>
      <c r="AZ78" s="22"/>
      <c r="BA78" s="22"/>
      <c r="BB78" s="22"/>
      <c r="BC78" s="22"/>
      <c r="BD78" s="22"/>
      <c r="BE78" s="22"/>
      <c r="BF78" s="110" t="s">
        <v>77</v>
      </c>
      <c r="BG78" s="40" t="s">
        <v>77</v>
      </c>
      <c r="BI78" s="103" t="s">
        <v>77</v>
      </c>
      <c r="BJ78" s="110"/>
      <c r="BS78" s="39" t="s">
        <v>77</v>
      </c>
      <c r="BT78" s="40" t="s">
        <v>77</v>
      </c>
      <c r="BV78" s="23" t="s">
        <v>201</v>
      </c>
      <c r="BX78" s="23" t="s">
        <v>77</v>
      </c>
      <c r="BZ78" s="39" t="s">
        <v>77</v>
      </c>
    </row>
    <row r="79" spans="1:78" x14ac:dyDescent="0.25">
      <c r="A79">
        <v>1518</v>
      </c>
      <c r="B79" t="s">
        <v>59</v>
      </c>
      <c r="C79" t="s">
        <v>40</v>
      </c>
      <c r="D79" t="s">
        <v>210</v>
      </c>
      <c r="E79" s="40">
        <v>52000</v>
      </c>
      <c r="F79" s="39">
        <v>41301</v>
      </c>
      <c r="G79">
        <f t="shared" si="1"/>
        <v>41301</v>
      </c>
      <c r="H79" s="5">
        <v>0</v>
      </c>
      <c r="I79" s="2">
        <v>96.07515556524055</v>
      </c>
      <c r="J79" s="2">
        <v>3.9248444347594487</v>
      </c>
      <c r="K79" s="2">
        <v>0</v>
      </c>
      <c r="L79" s="2">
        <v>0</v>
      </c>
      <c r="M79" s="2">
        <v>39680</v>
      </c>
      <c r="N79" s="2">
        <v>1621</v>
      </c>
      <c r="O79" s="6">
        <v>0</v>
      </c>
      <c r="P79" s="185"/>
      <c r="Q79" s="23">
        <v>38</v>
      </c>
      <c r="R79" s="23">
        <v>28</v>
      </c>
      <c r="S79" s="23">
        <v>28</v>
      </c>
      <c r="T79" s="23" t="s">
        <v>64</v>
      </c>
      <c r="U79" s="23" t="s">
        <v>63</v>
      </c>
      <c r="V79" s="39" t="s">
        <v>100</v>
      </c>
      <c r="W79" s="98"/>
      <c r="X79" s="99"/>
      <c r="Y79" s="99"/>
      <c r="Z79" s="99"/>
      <c r="AA79" s="99"/>
      <c r="AB79" s="99"/>
      <c r="AC79" s="99"/>
      <c r="AD79" s="99"/>
      <c r="AE79" s="99"/>
      <c r="AF79" s="99"/>
      <c r="AG79" s="99"/>
      <c r="AH79" s="99"/>
      <c r="AI79" s="99"/>
      <c r="AJ79" s="101" t="s">
        <v>64</v>
      </c>
      <c r="AK79" s="98"/>
      <c r="AL79" s="99"/>
      <c r="AM79" s="99"/>
      <c r="AN79" s="99"/>
      <c r="AO79" s="99"/>
      <c r="AP79" s="99"/>
      <c r="AQ79" s="99"/>
      <c r="AR79" s="99"/>
      <c r="AS79" s="99"/>
      <c r="AT79" s="99"/>
      <c r="AU79" s="99" t="s">
        <v>77</v>
      </c>
      <c r="AX79" s="39" t="s">
        <v>77</v>
      </c>
      <c r="AY79" s="103"/>
      <c r="AZ79" s="22"/>
      <c r="BA79" s="22"/>
      <c r="BB79" s="22"/>
      <c r="BC79" s="22"/>
      <c r="BD79" s="22"/>
      <c r="BE79" s="22"/>
      <c r="BF79" s="110" t="s">
        <v>77</v>
      </c>
      <c r="BG79" s="40" t="s">
        <v>63</v>
      </c>
      <c r="BI79" s="103" t="s">
        <v>77</v>
      </c>
      <c r="BJ79" s="110"/>
      <c r="BS79" s="39" t="s">
        <v>77</v>
      </c>
      <c r="BT79" s="40" t="s">
        <v>77</v>
      </c>
      <c r="BV79" s="23" t="s">
        <v>201</v>
      </c>
      <c r="BX79" s="23" t="s">
        <v>77</v>
      </c>
      <c r="BZ79" s="39" t="s">
        <v>77</v>
      </c>
    </row>
    <row r="80" spans="1:78" x14ac:dyDescent="0.25">
      <c r="A80">
        <v>1593</v>
      </c>
      <c r="B80" t="s">
        <v>59</v>
      </c>
      <c r="C80" t="s">
        <v>41</v>
      </c>
      <c r="D80" t="s">
        <v>212</v>
      </c>
      <c r="E80" s="40">
        <v>43000</v>
      </c>
      <c r="F80" s="39">
        <v>70400</v>
      </c>
      <c r="G80">
        <f t="shared" si="1"/>
        <v>70400</v>
      </c>
      <c r="H80" s="5">
        <v>1.4362450808605982</v>
      </c>
      <c r="I80" s="2">
        <v>78.993479447332888</v>
      </c>
      <c r="J80" s="2">
        <v>18.85215293137621</v>
      </c>
      <c r="K80" s="2">
        <v>0.71812254043029911</v>
      </c>
      <c r="L80" s="2">
        <v>1011.1165369258612</v>
      </c>
      <c r="M80" s="2">
        <v>55611.409530922356</v>
      </c>
      <c r="N80" s="2">
        <v>13271.915663688851</v>
      </c>
      <c r="O80" s="6">
        <v>505.55826846293058</v>
      </c>
      <c r="P80" s="185"/>
      <c r="Q80" s="23">
        <v>25</v>
      </c>
      <c r="R80" s="23">
        <v>25</v>
      </c>
      <c r="S80" s="23">
        <v>25</v>
      </c>
      <c r="T80" s="23" t="s">
        <v>89</v>
      </c>
      <c r="U80" s="23" t="s">
        <v>89</v>
      </c>
      <c r="W80" s="40">
        <v>5</v>
      </c>
      <c r="X80" s="23">
        <v>5</v>
      </c>
      <c r="Y80" s="23">
        <v>48</v>
      </c>
      <c r="Z80" s="23">
        <v>2</v>
      </c>
      <c r="AA80" s="23">
        <v>30</v>
      </c>
      <c r="AB80" s="23">
        <v>10</v>
      </c>
      <c r="AC80" s="23">
        <v>50.555826846293058</v>
      </c>
      <c r="AD80" s="23">
        <v>50.555826846293058</v>
      </c>
      <c r="AE80" s="23">
        <v>485.33593772441338</v>
      </c>
      <c r="AF80" s="23">
        <v>20.222330738517226</v>
      </c>
      <c r="AG80" s="23">
        <v>303.33496107775835</v>
      </c>
      <c r="AH80" s="23">
        <v>101.11165369258612</v>
      </c>
      <c r="AJ80" s="101" t="s">
        <v>64</v>
      </c>
      <c r="AK80" s="40">
        <v>0</v>
      </c>
      <c r="AL80" s="23">
        <v>0</v>
      </c>
      <c r="AM80" s="23">
        <v>0</v>
      </c>
      <c r="AN80" s="23">
        <v>100</v>
      </c>
      <c r="AO80" s="23">
        <v>0</v>
      </c>
      <c r="AP80" s="23">
        <v>0</v>
      </c>
      <c r="AQ80" s="23">
        <v>0</v>
      </c>
      <c r="AR80" s="23">
        <v>0</v>
      </c>
      <c r="AS80" s="23">
        <v>13271.915663688851</v>
      </c>
      <c r="AT80" s="23">
        <v>0</v>
      </c>
      <c r="AU80" s="23" t="s">
        <v>76</v>
      </c>
      <c r="AW80" s="40">
        <v>0</v>
      </c>
      <c r="AX80" s="39" t="s">
        <v>118</v>
      </c>
      <c r="AY80" s="103">
        <v>30</v>
      </c>
      <c r="AZ80" s="22"/>
      <c r="BA80" s="22">
        <v>30</v>
      </c>
      <c r="BB80" s="22"/>
      <c r="BC80" s="22">
        <v>30</v>
      </c>
      <c r="BD80" s="22"/>
      <c r="BE80" s="22"/>
      <c r="BF80" s="110" t="s">
        <v>118</v>
      </c>
      <c r="BG80" s="40" t="s">
        <v>63</v>
      </c>
      <c r="BI80" s="103" t="s">
        <v>77</v>
      </c>
      <c r="BJ80" s="110"/>
      <c r="BS80" s="39" t="s">
        <v>77</v>
      </c>
      <c r="BT80" s="40" t="s">
        <v>63</v>
      </c>
      <c r="BV80" s="23" t="s">
        <v>76</v>
      </c>
      <c r="BX80" s="23" t="s">
        <v>77</v>
      </c>
      <c r="BZ80" s="39" t="s">
        <v>77</v>
      </c>
    </row>
    <row r="81" spans="1:78" x14ac:dyDescent="0.25">
      <c r="A81">
        <v>1595</v>
      </c>
      <c r="B81" t="s">
        <v>59</v>
      </c>
      <c r="C81" t="s">
        <v>41</v>
      </c>
      <c r="D81" t="s">
        <v>212</v>
      </c>
      <c r="E81" s="40">
        <v>10976</v>
      </c>
      <c r="F81" s="39">
        <v>12000</v>
      </c>
      <c r="G81">
        <f t="shared" si="1"/>
        <v>12000</v>
      </c>
      <c r="H81" s="5">
        <v>10</v>
      </c>
      <c r="I81" s="2">
        <v>85</v>
      </c>
      <c r="J81" s="2">
        <v>0</v>
      </c>
      <c r="K81" s="2">
        <v>5</v>
      </c>
      <c r="L81" s="2">
        <v>1200</v>
      </c>
      <c r="M81" s="2">
        <v>10200</v>
      </c>
      <c r="N81" s="2">
        <v>0</v>
      </c>
      <c r="O81" s="6">
        <v>600</v>
      </c>
      <c r="P81" s="185"/>
      <c r="Q81" s="23">
        <v>10</v>
      </c>
      <c r="R81" s="23">
        <v>0</v>
      </c>
      <c r="S81" s="23">
        <v>10</v>
      </c>
      <c r="T81" s="23" t="s">
        <v>64</v>
      </c>
      <c r="U81" s="23" t="s">
        <v>64</v>
      </c>
      <c r="W81" s="40">
        <v>10</v>
      </c>
      <c r="X81" s="23">
        <v>10</v>
      </c>
      <c r="Y81" s="23">
        <v>50</v>
      </c>
      <c r="Z81" s="23">
        <v>5</v>
      </c>
      <c r="AA81" s="23">
        <v>5</v>
      </c>
      <c r="AB81" s="23">
        <v>20</v>
      </c>
      <c r="AC81" s="23">
        <v>120</v>
      </c>
      <c r="AD81" s="23">
        <v>120</v>
      </c>
      <c r="AE81" s="23">
        <v>600</v>
      </c>
      <c r="AF81" s="23">
        <v>60</v>
      </c>
      <c r="AG81" s="23">
        <v>60</v>
      </c>
      <c r="AH81" s="23">
        <v>240</v>
      </c>
      <c r="AJ81" s="101" t="s">
        <v>63</v>
      </c>
      <c r="AK81" s="98"/>
      <c r="AL81" s="99"/>
      <c r="AM81" s="99"/>
      <c r="AN81" s="99"/>
      <c r="AO81" s="99"/>
      <c r="AP81" s="99"/>
      <c r="AQ81" s="99"/>
      <c r="AR81" s="99"/>
      <c r="AS81" s="99"/>
      <c r="AT81" s="99"/>
      <c r="AU81" s="99" t="s">
        <v>77</v>
      </c>
      <c r="AV81" s="39" t="s">
        <v>64</v>
      </c>
      <c r="AX81" s="39" t="s">
        <v>77</v>
      </c>
      <c r="AY81" s="103"/>
      <c r="AZ81" s="22"/>
      <c r="BA81" s="22"/>
      <c r="BB81" s="22"/>
      <c r="BC81" s="22"/>
      <c r="BD81" s="22"/>
      <c r="BE81" s="22"/>
      <c r="BF81" s="110" t="s">
        <v>77</v>
      </c>
      <c r="BG81" s="40" t="s">
        <v>77</v>
      </c>
      <c r="BI81" s="103" t="s">
        <v>77</v>
      </c>
      <c r="BJ81" s="110"/>
      <c r="BS81" s="39" t="s">
        <v>77</v>
      </c>
      <c r="BT81" s="40" t="s">
        <v>77</v>
      </c>
      <c r="BV81" s="23" t="s">
        <v>201</v>
      </c>
      <c r="BX81" s="23" t="s">
        <v>77</v>
      </c>
      <c r="BZ81" s="39" t="s">
        <v>77</v>
      </c>
    </row>
    <row r="82" spans="1:78" x14ac:dyDescent="0.25">
      <c r="A82">
        <v>1614</v>
      </c>
      <c r="B82" t="s">
        <v>58</v>
      </c>
      <c r="C82" t="s">
        <v>41</v>
      </c>
      <c r="D82" t="s">
        <v>212</v>
      </c>
      <c r="E82" s="40">
        <v>106159</v>
      </c>
      <c r="F82" s="39">
        <v>358000</v>
      </c>
      <c r="G82">
        <f t="shared" si="1"/>
        <v>358000</v>
      </c>
      <c r="H82" s="5">
        <v>0</v>
      </c>
      <c r="I82" s="2">
        <v>87</v>
      </c>
      <c r="J82" s="2">
        <v>6</v>
      </c>
      <c r="K82" s="2">
        <v>7</v>
      </c>
      <c r="L82" s="2">
        <v>0</v>
      </c>
      <c r="M82" s="2">
        <v>311460</v>
      </c>
      <c r="N82" s="2">
        <v>21480</v>
      </c>
      <c r="O82" s="6">
        <v>25060</v>
      </c>
      <c r="P82" s="185"/>
      <c r="Q82" s="23">
        <v>29</v>
      </c>
      <c r="R82" s="23">
        <v>12</v>
      </c>
      <c r="S82" s="23">
        <v>12</v>
      </c>
      <c r="T82" s="23" t="s">
        <v>89</v>
      </c>
      <c r="U82" s="23" t="s">
        <v>89</v>
      </c>
      <c r="W82" s="98"/>
      <c r="X82" s="99"/>
      <c r="Y82" s="99"/>
      <c r="Z82" s="99"/>
      <c r="AA82" s="99"/>
      <c r="AB82" s="99"/>
      <c r="AC82" s="99"/>
      <c r="AD82" s="99"/>
      <c r="AE82" s="99"/>
      <c r="AF82" s="99"/>
      <c r="AG82" s="99"/>
      <c r="AH82" s="99"/>
      <c r="AI82" s="99"/>
      <c r="AJ82" s="101" t="s">
        <v>64</v>
      </c>
      <c r="AK82" s="40">
        <v>29.335044999522008</v>
      </c>
      <c r="AL82" s="23">
        <v>68.448438332218018</v>
      </c>
      <c r="AM82" s="23">
        <v>1.0693361375524084</v>
      </c>
      <c r="AN82" s="23">
        <v>1.1471805307075646</v>
      </c>
      <c r="AO82" s="23">
        <v>0</v>
      </c>
      <c r="AP82" s="23">
        <v>6301.1676658973274</v>
      </c>
      <c r="AQ82" s="23">
        <v>14702.72455376043</v>
      </c>
      <c r="AR82" s="23">
        <v>229.69340234625733</v>
      </c>
      <c r="AS82" s="23">
        <v>246.41437799598486</v>
      </c>
      <c r="AT82" s="23">
        <v>0</v>
      </c>
      <c r="AU82" s="23" t="s">
        <v>76</v>
      </c>
      <c r="AX82" s="39" t="s">
        <v>77</v>
      </c>
      <c r="AY82" s="103">
        <v>12</v>
      </c>
      <c r="AZ82" s="22"/>
      <c r="BA82" s="22">
        <v>12</v>
      </c>
      <c r="BB82" s="22"/>
      <c r="BC82" s="22"/>
      <c r="BD82" s="22"/>
      <c r="BE82" s="22"/>
      <c r="BF82" s="110" t="s">
        <v>118</v>
      </c>
      <c r="BG82" s="40" t="s">
        <v>63</v>
      </c>
      <c r="BI82" s="103" t="s">
        <v>77</v>
      </c>
      <c r="BJ82" s="110"/>
      <c r="BS82" s="39" t="s">
        <v>77</v>
      </c>
      <c r="BT82" s="40" t="s">
        <v>90</v>
      </c>
      <c r="BV82" s="23" t="s">
        <v>76</v>
      </c>
      <c r="BX82" s="23" t="s">
        <v>77</v>
      </c>
      <c r="BZ82" s="39" t="s">
        <v>77</v>
      </c>
    </row>
    <row r="83" spans="1:78" x14ac:dyDescent="0.25">
      <c r="A83">
        <v>1618</v>
      </c>
      <c r="B83" t="s">
        <v>59</v>
      </c>
      <c r="C83" t="s">
        <v>16</v>
      </c>
      <c r="D83" t="s">
        <v>210</v>
      </c>
      <c r="E83" s="40">
        <v>400000</v>
      </c>
      <c r="F83" s="39">
        <v>485000</v>
      </c>
      <c r="G83">
        <f t="shared" si="1"/>
        <v>484999.99999999994</v>
      </c>
      <c r="H83" s="5">
        <v>0</v>
      </c>
      <c r="I83" s="2">
        <v>87.878787878787875</v>
      </c>
      <c r="J83" s="2">
        <v>3.6363636363636362</v>
      </c>
      <c r="K83" s="2">
        <v>8.4848484848484862</v>
      </c>
      <c r="L83" s="2">
        <v>0</v>
      </c>
      <c r="M83" s="2">
        <v>426212.12121212116</v>
      </c>
      <c r="N83" s="2">
        <v>17636.363636363636</v>
      </c>
      <c r="O83" s="6">
        <v>41151.515151515159</v>
      </c>
      <c r="P83" s="185"/>
      <c r="Q83" s="23">
        <v>45</v>
      </c>
      <c r="R83" s="23">
        <v>32</v>
      </c>
      <c r="S83" s="23">
        <v>32</v>
      </c>
      <c r="T83" s="23" t="s">
        <v>90</v>
      </c>
      <c r="U83" s="23" t="s">
        <v>77</v>
      </c>
      <c r="W83" s="98"/>
      <c r="X83" s="99"/>
      <c r="Y83" s="99"/>
      <c r="Z83" s="99"/>
      <c r="AA83" s="99"/>
      <c r="AB83" s="99"/>
      <c r="AC83" s="99"/>
      <c r="AD83" s="99"/>
      <c r="AE83" s="99"/>
      <c r="AF83" s="99"/>
      <c r="AG83" s="99"/>
      <c r="AH83" s="99"/>
      <c r="AI83" s="99"/>
      <c r="AJ83" s="101" t="s">
        <v>64</v>
      </c>
      <c r="AK83" s="40">
        <v>11.111111111111111</v>
      </c>
      <c r="AL83" s="23">
        <v>0</v>
      </c>
      <c r="AM83" s="23">
        <v>0</v>
      </c>
      <c r="AN83" s="23">
        <v>88.888888888888886</v>
      </c>
      <c r="AO83" s="23">
        <v>0</v>
      </c>
      <c r="AP83" s="23">
        <v>1959.5959595959596</v>
      </c>
      <c r="AQ83" s="23">
        <v>0</v>
      </c>
      <c r="AR83" s="23">
        <v>0</v>
      </c>
      <c r="AS83" s="23">
        <v>15676.767676767677</v>
      </c>
      <c r="AT83" s="23">
        <v>0</v>
      </c>
      <c r="AU83" s="23" t="s">
        <v>76</v>
      </c>
      <c r="AW83" s="40">
        <v>0</v>
      </c>
      <c r="AX83" s="39" t="s">
        <v>118</v>
      </c>
      <c r="AY83" s="103">
        <v>22</v>
      </c>
      <c r="AZ83" s="22">
        <v>9000</v>
      </c>
      <c r="BA83" s="22">
        <v>22</v>
      </c>
      <c r="BB83" s="22">
        <v>9000</v>
      </c>
      <c r="BC83" s="22"/>
      <c r="BD83" s="22"/>
      <c r="BE83" s="22"/>
      <c r="BF83" s="110" t="s">
        <v>76</v>
      </c>
      <c r="BG83" s="40" t="s">
        <v>158</v>
      </c>
      <c r="BH83" s="39" t="s">
        <v>237</v>
      </c>
      <c r="BI83" s="103" t="s">
        <v>89</v>
      </c>
      <c r="BJ83" s="110">
        <v>0</v>
      </c>
      <c r="BR83" s="23" t="s">
        <v>64</v>
      </c>
      <c r="BS83" s="39" t="s">
        <v>76</v>
      </c>
      <c r="BT83" s="40" t="s">
        <v>64</v>
      </c>
      <c r="BU83" s="23">
        <v>40000</v>
      </c>
      <c r="BV83" s="23" t="s">
        <v>76</v>
      </c>
      <c r="BW83" s="23">
        <v>40000</v>
      </c>
      <c r="BX83" s="23" t="s">
        <v>76</v>
      </c>
      <c r="BY83" s="23">
        <v>10</v>
      </c>
      <c r="BZ83" s="39" t="s">
        <v>76</v>
      </c>
    </row>
    <row r="84" spans="1:78" x14ac:dyDescent="0.25">
      <c r="A84">
        <v>1622</v>
      </c>
      <c r="B84" t="s">
        <v>58</v>
      </c>
      <c r="C84" t="s">
        <v>16</v>
      </c>
      <c r="D84" t="s">
        <v>210</v>
      </c>
      <c r="E84" s="40">
        <v>240000</v>
      </c>
      <c r="F84" s="39">
        <v>217000</v>
      </c>
      <c r="G84">
        <f t="shared" si="1"/>
        <v>217000</v>
      </c>
      <c r="H84" s="5">
        <v>1</v>
      </c>
      <c r="I84" s="2">
        <v>97</v>
      </c>
      <c r="J84" s="2">
        <v>1</v>
      </c>
      <c r="K84" s="2">
        <v>1</v>
      </c>
      <c r="L84" s="2">
        <v>2170</v>
      </c>
      <c r="M84" s="2">
        <v>210490</v>
      </c>
      <c r="N84" s="2">
        <v>2170</v>
      </c>
      <c r="O84" s="6">
        <v>2170</v>
      </c>
      <c r="P84" s="185"/>
      <c r="Q84" s="23">
        <v>32</v>
      </c>
      <c r="R84" s="23">
        <v>20</v>
      </c>
      <c r="S84" s="23">
        <v>20</v>
      </c>
      <c r="T84" s="23" t="s">
        <v>89</v>
      </c>
      <c r="U84" s="23" t="s">
        <v>89</v>
      </c>
      <c r="W84" s="104"/>
      <c r="X84" s="105"/>
      <c r="Y84" s="105"/>
      <c r="Z84" s="105"/>
      <c r="AA84" s="105"/>
      <c r="AB84" s="105"/>
      <c r="AC84" s="105"/>
      <c r="AD84" s="105"/>
      <c r="AE84" s="105"/>
      <c r="AF84" s="105"/>
      <c r="AG84" s="105"/>
      <c r="AH84" s="105"/>
      <c r="AI84" s="105"/>
      <c r="AJ84" s="101" t="s">
        <v>64</v>
      </c>
      <c r="AK84" s="40">
        <v>20</v>
      </c>
      <c r="AL84" s="23">
        <v>5</v>
      </c>
      <c r="AM84" s="23">
        <v>0</v>
      </c>
      <c r="AN84" s="23">
        <v>75</v>
      </c>
      <c r="AO84" s="23">
        <v>0</v>
      </c>
      <c r="AP84" s="23">
        <v>434</v>
      </c>
      <c r="AQ84" s="23">
        <v>108.5</v>
      </c>
      <c r="AR84" s="23">
        <v>0</v>
      </c>
      <c r="AS84" s="23">
        <v>1627.5</v>
      </c>
      <c r="AT84" s="23">
        <v>0</v>
      </c>
      <c r="AU84" s="23" t="s">
        <v>76</v>
      </c>
      <c r="AW84" s="40">
        <v>0.95</v>
      </c>
      <c r="AX84" s="39" t="s">
        <v>76</v>
      </c>
      <c r="AY84" s="103">
        <v>7.5</v>
      </c>
      <c r="AZ84" s="22"/>
      <c r="BA84" s="22">
        <v>7.5</v>
      </c>
      <c r="BB84" s="22"/>
      <c r="BC84" s="22">
        <v>7.5</v>
      </c>
      <c r="BD84" s="22"/>
      <c r="BE84" s="22"/>
      <c r="BF84" s="110" t="s">
        <v>118</v>
      </c>
      <c r="BG84" s="40" t="s">
        <v>63</v>
      </c>
      <c r="BI84" s="103" t="s">
        <v>77</v>
      </c>
      <c r="BJ84" s="110"/>
      <c r="BS84" s="39" t="s">
        <v>77</v>
      </c>
      <c r="BT84" s="40" t="s">
        <v>90</v>
      </c>
      <c r="BV84" s="23" t="s">
        <v>76</v>
      </c>
      <c r="BX84" s="23" t="s">
        <v>77</v>
      </c>
      <c r="BZ84" s="39" t="s">
        <v>77</v>
      </c>
    </row>
    <row r="85" spans="1:78" x14ac:dyDescent="0.25">
      <c r="A85">
        <v>1625</v>
      </c>
      <c r="B85" t="s">
        <v>59</v>
      </c>
      <c r="C85" t="s">
        <v>16</v>
      </c>
      <c r="D85" t="s">
        <v>210</v>
      </c>
      <c r="E85" s="40">
        <v>83000</v>
      </c>
      <c r="F85" s="39">
        <v>52000</v>
      </c>
      <c r="G85">
        <f t="shared" si="1"/>
        <v>52000</v>
      </c>
      <c r="H85" s="5">
        <v>15</v>
      </c>
      <c r="I85" s="2">
        <v>72</v>
      </c>
      <c r="J85" s="2">
        <v>5</v>
      </c>
      <c r="K85" s="2">
        <v>8</v>
      </c>
      <c r="L85" s="2">
        <v>7800</v>
      </c>
      <c r="M85" s="2">
        <v>37440</v>
      </c>
      <c r="N85" s="2">
        <v>2600</v>
      </c>
      <c r="O85" s="6">
        <v>4160</v>
      </c>
      <c r="P85" s="185"/>
      <c r="Q85" s="23">
        <v>41</v>
      </c>
      <c r="R85" s="23">
        <v>41</v>
      </c>
      <c r="S85" s="23">
        <v>41</v>
      </c>
      <c r="T85" s="23" t="s">
        <v>64</v>
      </c>
      <c r="U85" s="23" t="s">
        <v>64</v>
      </c>
      <c r="W85" s="40">
        <v>4</v>
      </c>
      <c r="X85" s="23">
        <v>3</v>
      </c>
      <c r="Y85" s="23">
        <v>43</v>
      </c>
      <c r="Z85" s="23">
        <v>15</v>
      </c>
      <c r="AA85" s="23">
        <v>15</v>
      </c>
      <c r="AB85" s="23">
        <v>20</v>
      </c>
      <c r="AC85" s="23">
        <v>312</v>
      </c>
      <c r="AD85" s="23">
        <v>234</v>
      </c>
      <c r="AE85" s="23">
        <v>3354</v>
      </c>
      <c r="AF85" s="23">
        <v>1170</v>
      </c>
      <c r="AG85" s="23">
        <v>1170</v>
      </c>
      <c r="AH85" s="23">
        <v>1560</v>
      </c>
      <c r="AJ85" s="101" t="s">
        <v>64</v>
      </c>
      <c r="AK85" s="98"/>
      <c r="AL85" s="99"/>
      <c r="AM85" s="99"/>
      <c r="AN85" s="99"/>
      <c r="AO85" s="99"/>
      <c r="AP85" s="99"/>
      <c r="AQ85" s="99"/>
      <c r="AR85" s="99"/>
      <c r="AS85" s="99"/>
      <c r="AT85" s="99"/>
      <c r="AU85" s="99" t="s">
        <v>77</v>
      </c>
      <c r="AW85" s="40">
        <v>0</v>
      </c>
      <c r="AX85" s="39" t="s">
        <v>118</v>
      </c>
      <c r="AY85" s="103"/>
      <c r="AZ85" s="22"/>
      <c r="BA85" s="22"/>
      <c r="BB85" s="22"/>
      <c r="BC85" s="22"/>
      <c r="BD85" s="22"/>
      <c r="BE85" s="22"/>
      <c r="BF85" s="110" t="s">
        <v>77</v>
      </c>
      <c r="BG85" s="40" t="s">
        <v>77</v>
      </c>
      <c r="BI85" s="103" t="s">
        <v>77</v>
      </c>
      <c r="BJ85" s="110"/>
      <c r="BS85" s="39" t="s">
        <v>77</v>
      </c>
      <c r="BT85" s="40" t="s">
        <v>77</v>
      </c>
      <c r="BV85" s="23" t="s">
        <v>201</v>
      </c>
      <c r="BX85" s="23" t="s">
        <v>77</v>
      </c>
      <c r="BZ85" s="39" t="s">
        <v>77</v>
      </c>
    </row>
    <row r="86" spans="1:78" x14ac:dyDescent="0.25">
      <c r="A86">
        <v>1626</v>
      </c>
      <c r="B86" t="s">
        <v>58</v>
      </c>
      <c r="C86" t="s">
        <v>16</v>
      </c>
      <c r="D86" t="s">
        <v>210</v>
      </c>
      <c r="E86" s="40">
        <v>65000</v>
      </c>
      <c r="F86" s="39">
        <v>71465</v>
      </c>
      <c r="G86">
        <f t="shared" si="1"/>
        <v>71465</v>
      </c>
      <c r="H86" s="5">
        <v>0</v>
      </c>
      <c r="I86" s="2">
        <v>70.27356048415308</v>
      </c>
      <c r="J86" s="2">
        <v>10.185405443223956</v>
      </c>
      <c r="K86" s="2">
        <v>19.541034072622963</v>
      </c>
      <c r="L86" s="2">
        <v>0</v>
      </c>
      <c r="M86" s="2">
        <v>50221</v>
      </c>
      <c r="N86" s="2">
        <v>7279</v>
      </c>
      <c r="O86" s="6">
        <v>13965</v>
      </c>
      <c r="P86" s="185"/>
      <c r="Q86" s="23">
        <v>55</v>
      </c>
      <c r="R86" s="23">
        <v>55</v>
      </c>
      <c r="S86" s="23">
        <v>46</v>
      </c>
      <c r="T86" s="23" t="s">
        <v>90</v>
      </c>
      <c r="U86" s="23" t="s">
        <v>77</v>
      </c>
      <c r="W86" s="98"/>
      <c r="X86" s="99"/>
      <c r="Y86" s="99"/>
      <c r="Z86" s="99"/>
      <c r="AA86" s="99"/>
      <c r="AB86" s="99"/>
      <c r="AC86" s="99"/>
      <c r="AD86" s="99"/>
      <c r="AE86" s="99"/>
      <c r="AF86" s="99"/>
      <c r="AG86" s="99"/>
      <c r="AH86" s="99"/>
      <c r="AI86" s="99"/>
      <c r="AJ86" s="101" t="s">
        <v>64</v>
      </c>
      <c r="AK86" s="40">
        <v>0</v>
      </c>
      <c r="AL86" s="23">
        <v>0</v>
      </c>
      <c r="AM86" s="23">
        <v>31.281769473828824</v>
      </c>
      <c r="AN86" s="23">
        <v>68.718230526171169</v>
      </c>
      <c r="AO86" s="23">
        <v>0</v>
      </c>
      <c r="AP86" s="23">
        <v>0</v>
      </c>
      <c r="AQ86" s="23">
        <v>0</v>
      </c>
      <c r="AR86" s="23">
        <v>2277</v>
      </c>
      <c r="AS86" s="23">
        <v>5001.9999999999991</v>
      </c>
      <c r="AT86" s="23">
        <v>0</v>
      </c>
      <c r="AU86" s="23" t="s">
        <v>76</v>
      </c>
      <c r="AW86" s="40">
        <v>0</v>
      </c>
      <c r="AX86" s="39" t="s">
        <v>118</v>
      </c>
      <c r="AY86" s="103"/>
      <c r="AZ86" s="22"/>
      <c r="BA86" s="22"/>
      <c r="BB86" s="22"/>
      <c r="BC86" s="22"/>
      <c r="BD86" s="22"/>
      <c r="BE86" s="22" t="s">
        <v>64</v>
      </c>
      <c r="BF86" s="110" t="s">
        <v>76</v>
      </c>
      <c r="BG86" s="40" t="s">
        <v>63</v>
      </c>
      <c r="BI86" s="103" t="s">
        <v>77</v>
      </c>
      <c r="BJ86" s="110"/>
      <c r="BS86" s="39" t="s">
        <v>77</v>
      </c>
      <c r="BT86" s="40" t="s">
        <v>90</v>
      </c>
      <c r="BV86" s="23" t="s">
        <v>76</v>
      </c>
      <c r="BX86" s="23" t="s">
        <v>77</v>
      </c>
      <c r="BZ86" s="39" t="s">
        <v>77</v>
      </c>
    </row>
    <row r="87" spans="1:78" x14ac:dyDescent="0.25">
      <c r="A87">
        <v>1627</v>
      </c>
      <c r="B87" t="s">
        <v>59</v>
      </c>
      <c r="C87" t="s">
        <v>16</v>
      </c>
      <c r="D87" t="s">
        <v>210</v>
      </c>
      <c r="E87" s="40">
        <v>56000</v>
      </c>
      <c r="F87" s="39">
        <v>49077</v>
      </c>
      <c r="G87">
        <f t="shared" si="1"/>
        <v>49077</v>
      </c>
      <c r="H87" s="5">
        <v>0</v>
      </c>
      <c r="I87" s="2">
        <v>0</v>
      </c>
      <c r="J87" s="2">
        <v>100</v>
      </c>
      <c r="K87" s="2">
        <v>0</v>
      </c>
      <c r="L87" s="2">
        <v>0</v>
      </c>
      <c r="M87" s="2">
        <v>0</v>
      </c>
      <c r="N87" s="2">
        <v>49077</v>
      </c>
      <c r="O87" s="6">
        <v>0</v>
      </c>
      <c r="P87" s="185"/>
      <c r="Q87" s="23">
        <v>43</v>
      </c>
      <c r="R87" s="23">
        <v>43</v>
      </c>
      <c r="S87" s="23">
        <v>43</v>
      </c>
      <c r="T87" s="23" t="s">
        <v>89</v>
      </c>
      <c r="U87" s="23" t="s">
        <v>89</v>
      </c>
      <c r="W87" s="104"/>
      <c r="X87" s="105"/>
      <c r="Y87" s="105"/>
      <c r="Z87" s="105"/>
      <c r="AA87" s="105"/>
      <c r="AB87" s="105"/>
      <c r="AC87" s="105"/>
      <c r="AD87" s="105"/>
      <c r="AE87" s="105"/>
      <c r="AF87" s="105"/>
      <c r="AG87" s="105"/>
      <c r="AH87" s="105"/>
      <c r="AI87" s="105"/>
      <c r="AJ87" s="101" t="s">
        <v>64</v>
      </c>
      <c r="AK87" s="98"/>
      <c r="AL87" s="99"/>
      <c r="AM87" s="99"/>
      <c r="AN87" s="99"/>
      <c r="AO87" s="99"/>
      <c r="AP87" s="99"/>
      <c r="AQ87" s="99"/>
      <c r="AR87" s="99"/>
      <c r="AS87" s="99"/>
      <c r="AT87" s="99"/>
      <c r="AU87" s="99" t="s">
        <v>77</v>
      </c>
      <c r="AW87" s="40">
        <v>0</v>
      </c>
      <c r="AX87" s="39" t="s">
        <v>118</v>
      </c>
      <c r="AY87" s="103"/>
      <c r="AZ87" s="22"/>
      <c r="BA87" s="22"/>
      <c r="BB87" s="22"/>
      <c r="BC87" s="22"/>
      <c r="BD87" s="22"/>
      <c r="BE87" s="22" t="s">
        <v>64</v>
      </c>
      <c r="BF87" s="110" t="s">
        <v>76</v>
      </c>
      <c r="BG87" s="40" t="s">
        <v>63</v>
      </c>
      <c r="BI87" s="103" t="s">
        <v>77</v>
      </c>
      <c r="BJ87" s="110"/>
      <c r="BS87" s="39" t="s">
        <v>77</v>
      </c>
      <c r="BT87" s="40" t="s">
        <v>77</v>
      </c>
      <c r="BV87" s="23" t="s">
        <v>201</v>
      </c>
      <c r="BX87" s="23" t="s">
        <v>77</v>
      </c>
      <c r="BZ87" s="39" t="s">
        <v>77</v>
      </c>
    </row>
    <row r="88" spans="1:78" x14ac:dyDescent="0.25">
      <c r="A88">
        <v>1628</v>
      </c>
      <c r="B88" t="s">
        <v>58</v>
      </c>
      <c r="C88" t="s">
        <v>16</v>
      </c>
      <c r="D88" t="s">
        <v>210</v>
      </c>
      <c r="E88" s="40">
        <v>62809</v>
      </c>
      <c r="F88" s="39">
        <v>48063</v>
      </c>
      <c r="G88">
        <f t="shared" si="1"/>
        <v>48063</v>
      </c>
      <c r="H88" s="5">
        <v>15</v>
      </c>
      <c r="I88" s="2">
        <v>80</v>
      </c>
      <c r="J88" s="2">
        <v>5</v>
      </c>
      <c r="K88" s="2">
        <v>0</v>
      </c>
      <c r="L88" s="2">
        <v>7209.45</v>
      </c>
      <c r="M88" s="2">
        <v>38450.400000000001</v>
      </c>
      <c r="N88" s="2">
        <v>2403.15</v>
      </c>
      <c r="O88" s="6">
        <v>0</v>
      </c>
      <c r="P88" s="185"/>
      <c r="Q88" s="23">
        <v>60</v>
      </c>
      <c r="R88" s="23">
        <v>60</v>
      </c>
      <c r="S88" s="23">
        <v>60</v>
      </c>
      <c r="T88" s="23" t="s">
        <v>89</v>
      </c>
      <c r="U88" s="23" t="s">
        <v>89</v>
      </c>
      <c r="W88" s="40">
        <v>5</v>
      </c>
      <c r="X88" s="23">
        <v>0</v>
      </c>
      <c r="Y88" s="23">
        <v>75</v>
      </c>
      <c r="Z88" s="23">
        <v>0</v>
      </c>
      <c r="AA88" s="23">
        <v>0</v>
      </c>
      <c r="AB88" s="23">
        <v>20</v>
      </c>
      <c r="AC88" s="23">
        <v>360.47250000000003</v>
      </c>
      <c r="AD88" s="23">
        <v>0</v>
      </c>
      <c r="AE88" s="23">
        <v>5407.0875000000005</v>
      </c>
      <c r="AF88" s="23">
        <v>0</v>
      </c>
      <c r="AG88" s="23">
        <v>0</v>
      </c>
      <c r="AH88" s="23">
        <v>1441.89</v>
      </c>
      <c r="AJ88" s="101" t="s">
        <v>64</v>
      </c>
      <c r="AK88" s="98"/>
      <c r="AL88" s="99"/>
      <c r="AM88" s="99"/>
      <c r="AN88" s="99"/>
      <c r="AO88" s="99"/>
      <c r="AP88" s="99"/>
      <c r="AQ88" s="99"/>
      <c r="AR88" s="99"/>
      <c r="AS88" s="99"/>
      <c r="AT88" s="99"/>
      <c r="AU88" s="99" t="s">
        <v>77</v>
      </c>
      <c r="AX88" s="39" t="s">
        <v>77</v>
      </c>
      <c r="AY88" s="103"/>
      <c r="AZ88" s="22"/>
      <c r="BA88" s="22"/>
      <c r="BB88" s="22"/>
      <c r="BC88" s="22"/>
      <c r="BD88" s="22"/>
      <c r="BE88" s="22"/>
      <c r="BF88" s="110" t="s">
        <v>77</v>
      </c>
      <c r="BG88" s="40" t="s">
        <v>77</v>
      </c>
      <c r="BI88" s="103" t="s">
        <v>77</v>
      </c>
      <c r="BJ88" s="110"/>
      <c r="BS88" s="39" t="s">
        <v>77</v>
      </c>
      <c r="BT88" s="40" t="s">
        <v>90</v>
      </c>
      <c r="BV88" s="23" t="s">
        <v>76</v>
      </c>
      <c r="BX88" s="23" t="s">
        <v>77</v>
      </c>
      <c r="BZ88" s="39" t="s">
        <v>77</v>
      </c>
    </row>
    <row r="89" spans="1:78" x14ac:dyDescent="0.25">
      <c r="A89">
        <v>1630</v>
      </c>
      <c r="B89" t="s">
        <v>58</v>
      </c>
      <c r="C89" t="s">
        <v>16</v>
      </c>
      <c r="D89" t="s">
        <v>210</v>
      </c>
      <c r="E89" s="40">
        <v>120000</v>
      </c>
      <c r="F89" s="39">
        <v>127571</v>
      </c>
      <c r="H89" s="178"/>
      <c r="I89" s="177"/>
      <c r="J89" s="177"/>
      <c r="K89" s="177"/>
      <c r="L89" s="177"/>
      <c r="M89" s="177"/>
      <c r="N89" s="177"/>
      <c r="O89" s="179"/>
      <c r="P89" s="185"/>
      <c r="T89" s="23" t="s">
        <v>89</v>
      </c>
      <c r="U89" s="23" t="s">
        <v>89</v>
      </c>
      <c r="W89" s="98"/>
      <c r="X89" s="99"/>
      <c r="Y89" s="99"/>
      <c r="Z89" s="99"/>
      <c r="AA89" s="99"/>
      <c r="AB89" s="99"/>
      <c r="AC89" s="99"/>
      <c r="AD89" s="99"/>
      <c r="AE89" s="99"/>
      <c r="AF89" s="99"/>
      <c r="AG89" s="99"/>
      <c r="AH89" s="99"/>
      <c r="AI89" s="99"/>
      <c r="AJ89" s="101" t="s">
        <v>64</v>
      </c>
      <c r="AK89" s="98"/>
      <c r="AL89" s="99"/>
      <c r="AM89" s="99"/>
      <c r="AN89" s="99"/>
      <c r="AO89" s="99"/>
      <c r="AP89" s="99"/>
      <c r="AQ89" s="99"/>
      <c r="AR89" s="99"/>
      <c r="AS89" s="99"/>
      <c r="AT89" s="99"/>
      <c r="AU89" s="99" t="s">
        <v>77</v>
      </c>
      <c r="AX89" s="39" t="s">
        <v>77</v>
      </c>
      <c r="AY89" s="103"/>
      <c r="AZ89" s="22"/>
      <c r="BA89" s="22"/>
      <c r="BB89" s="22"/>
      <c r="BC89" s="22"/>
      <c r="BD89" s="22"/>
      <c r="BE89" s="22"/>
      <c r="BF89" s="110" t="s">
        <v>77</v>
      </c>
      <c r="BG89" s="40" t="s">
        <v>77</v>
      </c>
      <c r="BI89" s="103" t="s">
        <v>77</v>
      </c>
      <c r="BJ89" s="110"/>
      <c r="BS89" s="39" t="s">
        <v>77</v>
      </c>
      <c r="BT89" s="40" t="s">
        <v>77</v>
      </c>
      <c r="BV89" s="23" t="s">
        <v>201</v>
      </c>
      <c r="BX89" s="23" t="s">
        <v>77</v>
      </c>
      <c r="BZ89" s="39" t="s">
        <v>77</v>
      </c>
    </row>
    <row r="90" spans="1:78" x14ac:dyDescent="0.25">
      <c r="A90">
        <v>1633</v>
      </c>
      <c r="B90" t="s">
        <v>58</v>
      </c>
      <c r="C90" t="s">
        <v>16</v>
      </c>
      <c r="D90" t="s">
        <v>210</v>
      </c>
      <c r="E90" s="40">
        <v>75000</v>
      </c>
      <c r="F90" s="39">
        <v>65000</v>
      </c>
      <c r="G90">
        <f t="shared" si="1"/>
        <v>65000</v>
      </c>
      <c r="H90" s="5">
        <v>1</v>
      </c>
      <c r="I90" s="2">
        <v>90</v>
      </c>
      <c r="J90" s="2">
        <v>0</v>
      </c>
      <c r="K90" s="2">
        <v>9</v>
      </c>
      <c r="L90" s="2">
        <v>650</v>
      </c>
      <c r="M90" s="2">
        <v>58500</v>
      </c>
      <c r="N90" s="2">
        <v>0</v>
      </c>
      <c r="O90" s="6">
        <v>5850</v>
      </c>
      <c r="P90" s="185"/>
      <c r="Q90" s="23">
        <v>40</v>
      </c>
      <c r="R90" s="23">
        <v>10</v>
      </c>
      <c r="S90" s="23">
        <v>0</v>
      </c>
      <c r="T90" s="23" t="s">
        <v>89</v>
      </c>
      <c r="U90" s="23" t="s">
        <v>89</v>
      </c>
      <c r="W90" s="104"/>
      <c r="X90" s="105"/>
      <c r="Y90" s="105"/>
      <c r="Z90" s="105"/>
      <c r="AA90" s="105"/>
      <c r="AB90" s="105"/>
      <c r="AC90" s="105"/>
      <c r="AD90" s="105"/>
      <c r="AE90" s="105"/>
      <c r="AF90" s="105"/>
      <c r="AG90" s="105"/>
      <c r="AH90" s="105"/>
      <c r="AI90" s="105"/>
      <c r="AJ90" s="101" t="s">
        <v>63</v>
      </c>
      <c r="AK90" s="98"/>
      <c r="AL90" s="99"/>
      <c r="AM90" s="99"/>
      <c r="AN90" s="99"/>
      <c r="AO90" s="99"/>
      <c r="AP90" s="99"/>
      <c r="AQ90" s="99"/>
      <c r="AR90" s="99"/>
      <c r="AS90" s="99"/>
      <c r="AT90" s="99"/>
      <c r="AU90" s="99" t="s">
        <v>77</v>
      </c>
      <c r="AV90" s="39" t="s">
        <v>64</v>
      </c>
      <c r="AX90" s="39" t="s">
        <v>77</v>
      </c>
      <c r="AY90" s="103"/>
      <c r="AZ90" s="22"/>
      <c r="BA90" s="22"/>
      <c r="BB90" s="22"/>
      <c r="BC90" s="22"/>
      <c r="BD90" s="22"/>
      <c r="BE90" s="22"/>
      <c r="BF90" s="110" t="s">
        <v>77</v>
      </c>
      <c r="BG90" s="40" t="s">
        <v>77</v>
      </c>
      <c r="BI90" s="103" t="s">
        <v>77</v>
      </c>
      <c r="BJ90" s="110"/>
      <c r="BS90" s="39" t="s">
        <v>77</v>
      </c>
      <c r="BT90" s="40" t="s">
        <v>90</v>
      </c>
      <c r="BV90" s="23" t="s">
        <v>76</v>
      </c>
      <c r="BX90" s="23" t="s">
        <v>77</v>
      </c>
      <c r="BZ90" s="39" t="s">
        <v>77</v>
      </c>
    </row>
    <row r="91" spans="1:78" x14ac:dyDescent="0.25">
      <c r="A91">
        <v>1635</v>
      </c>
      <c r="B91" t="s">
        <v>59</v>
      </c>
      <c r="C91" t="s">
        <v>42</v>
      </c>
      <c r="D91" t="s">
        <v>212</v>
      </c>
      <c r="E91" s="40">
        <v>1300000</v>
      </c>
      <c r="F91" s="39">
        <v>922000</v>
      </c>
      <c r="G91">
        <f t="shared" si="1"/>
        <v>922000</v>
      </c>
      <c r="H91" s="5">
        <v>4.2741582282822632</v>
      </c>
      <c r="I91" s="2">
        <v>93.021724332624487</v>
      </c>
      <c r="J91" s="2">
        <v>1.7062861786387069</v>
      </c>
      <c r="K91" s="2">
        <v>0.99783126045453818</v>
      </c>
      <c r="L91" s="2">
        <v>39407.738864762468</v>
      </c>
      <c r="M91" s="2">
        <v>857660.29834679782</v>
      </c>
      <c r="N91" s="2">
        <v>15731.958567048878</v>
      </c>
      <c r="O91" s="6">
        <v>9200.0042213908418</v>
      </c>
      <c r="P91" s="185"/>
      <c r="Q91" s="23">
        <v>144.34</v>
      </c>
      <c r="R91" s="23">
        <v>75</v>
      </c>
      <c r="S91" s="23">
        <v>75</v>
      </c>
      <c r="T91" s="23" t="s">
        <v>64</v>
      </c>
      <c r="U91" s="23" t="s">
        <v>64</v>
      </c>
      <c r="W91" s="40">
        <v>0</v>
      </c>
      <c r="X91" s="23">
        <v>0</v>
      </c>
      <c r="Y91" s="23">
        <v>26</v>
      </c>
      <c r="Z91" s="23">
        <v>20</v>
      </c>
      <c r="AA91" s="23">
        <v>54</v>
      </c>
      <c r="AB91" s="23">
        <v>0</v>
      </c>
      <c r="AC91" s="23">
        <v>0</v>
      </c>
      <c r="AD91" s="23">
        <v>0</v>
      </c>
      <c r="AE91" s="23">
        <v>10246.012104838241</v>
      </c>
      <c r="AF91" s="23">
        <v>7881.5477729524946</v>
      </c>
      <c r="AG91" s="23">
        <v>21280.178986971732</v>
      </c>
      <c r="AH91" s="23">
        <v>0</v>
      </c>
      <c r="AJ91" s="101" t="s">
        <v>64</v>
      </c>
      <c r="AK91" s="40">
        <v>0</v>
      </c>
      <c r="AL91" s="23">
        <v>0</v>
      </c>
      <c r="AM91" s="23">
        <v>32.432432432432435</v>
      </c>
      <c r="AN91" s="23">
        <v>67.567567567567565</v>
      </c>
      <c r="AO91" s="23">
        <v>0</v>
      </c>
      <c r="AP91" s="23">
        <v>0</v>
      </c>
      <c r="AQ91" s="23">
        <v>0</v>
      </c>
      <c r="AR91" s="23">
        <v>5102.2568325563934</v>
      </c>
      <c r="AS91" s="23">
        <v>10629.701734492486</v>
      </c>
      <c r="AT91" s="23">
        <v>0</v>
      </c>
      <c r="AU91" s="23" t="s">
        <v>76</v>
      </c>
      <c r="AX91" s="39" t="s">
        <v>77</v>
      </c>
      <c r="AY91" s="103"/>
      <c r="AZ91" s="22"/>
      <c r="BA91" s="22"/>
      <c r="BB91" s="22"/>
      <c r="BC91" s="22"/>
      <c r="BD91" s="22"/>
      <c r="BE91" s="22"/>
      <c r="BF91" s="110" t="s">
        <v>77</v>
      </c>
      <c r="BG91" s="40" t="s">
        <v>63</v>
      </c>
      <c r="BI91" s="103" t="s">
        <v>77</v>
      </c>
      <c r="BJ91" s="110"/>
      <c r="BS91" s="39" t="s">
        <v>77</v>
      </c>
      <c r="BT91" s="40" t="s">
        <v>90</v>
      </c>
      <c r="BV91" s="23" t="s">
        <v>76</v>
      </c>
      <c r="BX91" s="23" t="s">
        <v>77</v>
      </c>
      <c r="BZ91" s="39" t="s">
        <v>77</v>
      </c>
    </row>
    <row r="92" spans="1:78" x14ac:dyDescent="0.25">
      <c r="A92">
        <v>1640</v>
      </c>
      <c r="B92" t="s">
        <v>59</v>
      </c>
      <c r="C92" t="s">
        <v>42</v>
      </c>
      <c r="D92" t="s">
        <v>212</v>
      </c>
      <c r="E92" s="40">
        <v>93147</v>
      </c>
      <c r="F92" s="39">
        <v>106000</v>
      </c>
      <c r="H92" s="178"/>
      <c r="I92" s="177"/>
      <c r="J92" s="177"/>
      <c r="K92" s="177"/>
      <c r="L92" s="177"/>
      <c r="M92" s="177"/>
      <c r="N92" s="177"/>
      <c r="O92" s="179"/>
      <c r="P92" s="185"/>
      <c r="Q92" s="23">
        <v>28.8</v>
      </c>
      <c r="R92" s="23">
        <v>28.8</v>
      </c>
      <c r="S92" s="23">
        <v>28.8</v>
      </c>
      <c r="T92" s="23" t="s">
        <v>89</v>
      </c>
      <c r="U92" s="23" t="s">
        <v>89</v>
      </c>
      <c r="W92" s="98"/>
      <c r="X92" s="99"/>
      <c r="Y92" s="99"/>
      <c r="Z92" s="99"/>
      <c r="AA92" s="99"/>
      <c r="AB92" s="99"/>
      <c r="AC92" s="99"/>
      <c r="AD92" s="99"/>
      <c r="AE92" s="99"/>
      <c r="AF92" s="99"/>
      <c r="AG92" s="99"/>
      <c r="AH92" s="99"/>
      <c r="AI92" s="99"/>
      <c r="AJ92" s="101" t="s">
        <v>63</v>
      </c>
      <c r="AK92" s="98"/>
      <c r="AL92" s="99"/>
      <c r="AM92" s="99"/>
      <c r="AN92" s="99"/>
      <c r="AO92" s="99"/>
      <c r="AP92" s="99"/>
      <c r="AQ92" s="99"/>
      <c r="AR92" s="99"/>
      <c r="AS92" s="99"/>
      <c r="AT92" s="99"/>
      <c r="AU92" s="99" t="s">
        <v>77</v>
      </c>
      <c r="AX92" s="39" t="s">
        <v>77</v>
      </c>
      <c r="AY92" s="103"/>
      <c r="AZ92" s="22"/>
      <c r="BA92" s="22"/>
      <c r="BB92" s="22"/>
      <c r="BC92" s="22"/>
      <c r="BD92" s="22"/>
      <c r="BE92" s="22" t="s">
        <v>64</v>
      </c>
      <c r="BF92" s="110" t="s">
        <v>76</v>
      </c>
      <c r="BG92" s="40" t="s">
        <v>63</v>
      </c>
      <c r="BI92" s="103" t="s">
        <v>77</v>
      </c>
      <c r="BJ92" s="110"/>
      <c r="BS92" s="39" t="s">
        <v>77</v>
      </c>
      <c r="BT92" s="40" t="s">
        <v>90</v>
      </c>
      <c r="BV92" s="23" t="s">
        <v>76</v>
      </c>
      <c r="BX92" s="23" t="s">
        <v>77</v>
      </c>
      <c r="BZ92" s="39" t="s">
        <v>77</v>
      </c>
    </row>
    <row r="93" spans="1:78" x14ac:dyDescent="0.25">
      <c r="A93">
        <v>1641</v>
      </c>
      <c r="B93" t="s">
        <v>58</v>
      </c>
      <c r="C93" t="s">
        <v>43</v>
      </c>
      <c r="D93" t="s">
        <v>212</v>
      </c>
      <c r="E93" s="40">
        <v>180000</v>
      </c>
      <c r="F93" s="39">
        <v>350000</v>
      </c>
      <c r="H93" s="178"/>
      <c r="I93" s="177"/>
      <c r="J93" s="177"/>
      <c r="K93" s="177"/>
      <c r="L93" s="177"/>
      <c r="M93" s="177"/>
      <c r="N93" s="177"/>
      <c r="O93" s="179"/>
      <c r="P93" s="185"/>
      <c r="Q93" s="23">
        <v>62.5</v>
      </c>
      <c r="T93" s="23" t="s">
        <v>89</v>
      </c>
      <c r="U93" s="23" t="s">
        <v>89</v>
      </c>
      <c r="W93" s="98"/>
      <c r="X93" s="99"/>
      <c r="Y93" s="99"/>
      <c r="Z93" s="99"/>
      <c r="AA93" s="99"/>
      <c r="AB93" s="99"/>
      <c r="AC93" s="99"/>
      <c r="AD93" s="99"/>
      <c r="AE93" s="99"/>
      <c r="AF93" s="99"/>
      <c r="AG93" s="99"/>
      <c r="AH93" s="99"/>
      <c r="AI93" s="99"/>
      <c r="AJ93" s="101" t="s">
        <v>63</v>
      </c>
      <c r="AK93" s="98"/>
      <c r="AL93" s="99"/>
      <c r="AM93" s="99"/>
      <c r="AN93" s="99"/>
      <c r="AO93" s="99"/>
      <c r="AP93" s="99"/>
      <c r="AQ93" s="99"/>
      <c r="AR93" s="99"/>
      <c r="AS93" s="99"/>
      <c r="AT93" s="99"/>
      <c r="AU93" s="99" t="s">
        <v>77</v>
      </c>
      <c r="AX93" s="39" t="s">
        <v>77</v>
      </c>
      <c r="AY93" s="103"/>
      <c r="AZ93" s="22"/>
      <c r="BA93" s="22"/>
      <c r="BB93" s="22"/>
      <c r="BC93" s="22"/>
      <c r="BD93" s="22"/>
      <c r="BE93" s="22"/>
      <c r="BF93" s="110" t="s">
        <v>77</v>
      </c>
      <c r="BG93" s="40" t="s">
        <v>77</v>
      </c>
      <c r="BI93" s="103" t="s">
        <v>77</v>
      </c>
      <c r="BJ93" s="110"/>
      <c r="BS93" s="39" t="s">
        <v>77</v>
      </c>
      <c r="BT93" s="40" t="s">
        <v>90</v>
      </c>
      <c r="BV93" s="23" t="s">
        <v>76</v>
      </c>
      <c r="BX93" s="23" t="s">
        <v>77</v>
      </c>
      <c r="BZ93" s="39" t="s">
        <v>77</v>
      </c>
    </row>
    <row r="94" spans="1:78" x14ac:dyDescent="0.25">
      <c r="A94">
        <v>1652</v>
      </c>
      <c r="B94" t="s">
        <v>59</v>
      </c>
      <c r="C94" t="s">
        <v>44</v>
      </c>
      <c r="D94" t="s">
        <v>210</v>
      </c>
      <c r="E94" s="40"/>
      <c r="F94" s="39">
        <v>12000</v>
      </c>
      <c r="G94">
        <f t="shared" si="1"/>
        <v>12000</v>
      </c>
      <c r="H94" s="5">
        <v>0</v>
      </c>
      <c r="I94" s="2">
        <v>99</v>
      </c>
      <c r="J94" s="2">
        <v>0</v>
      </c>
      <c r="K94" s="2">
        <v>1</v>
      </c>
      <c r="L94" s="2">
        <v>0</v>
      </c>
      <c r="M94" s="2">
        <v>11880</v>
      </c>
      <c r="N94" s="2">
        <v>0</v>
      </c>
      <c r="O94" s="6">
        <v>120</v>
      </c>
      <c r="P94" s="185"/>
      <c r="Q94" s="23">
        <v>42.5</v>
      </c>
      <c r="R94" s="23">
        <v>42.5</v>
      </c>
      <c r="S94" s="23">
        <v>42.5</v>
      </c>
      <c r="T94" s="23" t="s">
        <v>89</v>
      </c>
      <c r="U94" s="23" t="s">
        <v>89</v>
      </c>
      <c r="W94" s="98"/>
      <c r="X94" s="99"/>
      <c r="Y94" s="99"/>
      <c r="Z94" s="99"/>
      <c r="AA94" s="99"/>
      <c r="AB94" s="99"/>
      <c r="AC94" s="99"/>
      <c r="AD94" s="99"/>
      <c r="AE94" s="99"/>
      <c r="AF94" s="99"/>
      <c r="AG94" s="99"/>
      <c r="AH94" s="99"/>
      <c r="AI94" s="99"/>
      <c r="AJ94" s="101" t="s">
        <v>63</v>
      </c>
      <c r="AK94" s="98"/>
      <c r="AL94" s="99"/>
      <c r="AM94" s="99"/>
      <c r="AN94" s="99"/>
      <c r="AO94" s="99"/>
      <c r="AP94" s="99"/>
      <c r="AQ94" s="99"/>
      <c r="AR94" s="99"/>
      <c r="AS94" s="99"/>
      <c r="AT94" s="99"/>
      <c r="AU94" s="99" t="s">
        <v>77</v>
      </c>
      <c r="AX94" s="39" t="s">
        <v>77</v>
      </c>
      <c r="AY94" s="103"/>
      <c r="AZ94" s="22"/>
      <c r="BA94" s="22"/>
      <c r="BB94" s="22"/>
      <c r="BC94" s="22"/>
      <c r="BD94" s="22"/>
      <c r="BE94" s="22"/>
      <c r="BF94" s="110" t="s">
        <v>77</v>
      </c>
      <c r="BG94" s="40" t="s">
        <v>77</v>
      </c>
      <c r="BI94" s="103" t="s">
        <v>77</v>
      </c>
      <c r="BJ94" s="110"/>
      <c r="BS94" s="39" t="s">
        <v>77</v>
      </c>
      <c r="BT94" s="40" t="s">
        <v>90</v>
      </c>
      <c r="BV94" s="23" t="s">
        <v>76</v>
      </c>
      <c r="BX94" s="23" t="s">
        <v>77</v>
      </c>
      <c r="BZ94" s="39" t="s">
        <v>77</v>
      </c>
    </row>
    <row r="95" spans="1:78" x14ac:dyDescent="0.25">
      <c r="A95">
        <v>1657</v>
      </c>
      <c r="B95" t="s">
        <v>58</v>
      </c>
      <c r="C95" t="s">
        <v>44</v>
      </c>
      <c r="D95" t="s">
        <v>210</v>
      </c>
      <c r="E95" s="40">
        <v>60000</v>
      </c>
      <c r="F95" s="39">
        <v>30000</v>
      </c>
      <c r="G95">
        <f t="shared" si="1"/>
        <v>30000</v>
      </c>
      <c r="H95" s="5">
        <v>4.99</v>
      </c>
      <c r="I95" s="2">
        <v>93</v>
      </c>
      <c r="J95" s="2">
        <v>0.01</v>
      </c>
      <c r="K95" s="2">
        <v>2</v>
      </c>
      <c r="L95" s="2">
        <v>1497</v>
      </c>
      <c r="M95" s="2">
        <v>27900</v>
      </c>
      <c r="N95" s="2">
        <v>3</v>
      </c>
      <c r="O95" s="6">
        <v>600</v>
      </c>
      <c r="P95" s="185"/>
      <c r="Q95" s="23">
        <v>46.75</v>
      </c>
      <c r="T95" s="23" t="s">
        <v>89</v>
      </c>
      <c r="U95" s="23" t="s">
        <v>89</v>
      </c>
      <c r="W95" s="98"/>
      <c r="X95" s="99"/>
      <c r="Y95" s="99"/>
      <c r="Z95" s="99"/>
      <c r="AA95" s="99"/>
      <c r="AB95" s="99"/>
      <c r="AC95" s="99"/>
      <c r="AD95" s="99"/>
      <c r="AE95" s="99"/>
      <c r="AF95" s="99"/>
      <c r="AG95" s="99"/>
      <c r="AH95" s="99"/>
      <c r="AI95" s="99"/>
      <c r="AJ95" s="101" t="s">
        <v>63</v>
      </c>
      <c r="AK95" s="98"/>
      <c r="AL95" s="99"/>
      <c r="AM95" s="99"/>
      <c r="AN95" s="99"/>
      <c r="AO95" s="99"/>
      <c r="AP95" s="99"/>
      <c r="AQ95" s="99"/>
      <c r="AR95" s="99"/>
      <c r="AS95" s="99"/>
      <c r="AT95" s="99"/>
      <c r="AU95" s="99" t="s">
        <v>77</v>
      </c>
      <c r="AX95" s="39" t="s">
        <v>77</v>
      </c>
      <c r="AY95" s="103"/>
      <c r="AZ95" s="22"/>
      <c r="BA95" s="22"/>
      <c r="BB95" s="22"/>
      <c r="BC95" s="22"/>
      <c r="BD95" s="22"/>
      <c r="BE95" s="22"/>
      <c r="BF95" s="110" t="s">
        <v>77</v>
      </c>
      <c r="BG95" s="40" t="s">
        <v>77</v>
      </c>
      <c r="BI95" s="103" t="s">
        <v>77</v>
      </c>
      <c r="BJ95" s="110"/>
      <c r="BS95" s="39" t="s">
        <v>77</v>
      </c>
      <c r="BT95" s="40" t="s">
        <v>90</v>
      </c>
      <c r="BV95" s="23" t="s">
        <v>76</v>
      </c>
      <c r="BX95" s="23" t="s">
        <v>77</v>
      </c>
      <c r="BZ95" s="39" t="s">
        <v>77</v>
      </c>
    </row>
    <row r="96" spans="1:78" x14ac:dyDescent="0.25">
      <c r="A96">
        <v>1662</v>
      </c>
      <c r="B96" t="s">
        <v>58</v>
      </c>
      <c r="C96" t="s">
        <v>44</v>
      </c>
      <c r="D96" t="s">
        <v>210</v>
      </c>
      <c r="E96" s="40">
        <v>50000</v>
      </c>
      <c r="F96" s="39">
        <v>107000</v>
      </c>
      <c r="G96">
        <f t="shared" si="1"/>
        <v>107000.00000000001</v>
      </c>
      <c r="H96" s="5">
        <v>0</v>
      </c>
      <c r="I96" s="2">
        <v>97.523364485981318</v>
      </c>
      <c r="J96" s="2">
        <v>2.4766355140186915</v>
      </c>
      <c r="K96" s="2">
        <v>0</v>
      </c>
      <c r="L96" s="2">
        <v>0</v>
      </c>
      <c r="M96" s="2">
        <v>104350.00000000001</v>
      </c>
      <c r="N96" s="2">
        <v>2650</v>
      </c>
      <c r="O96" s="6">
        <v>0</v>
      </c>
      <c r="P96" s="185"/>
      <c r="Q96" s="23">
        <v>41.75</v>
      </c>
      <c r="R96" s="23">
        <v>3</v>
      </c>
      <c r="S96" s="23">
        <v>37.5</v>
      </c>
      <c r="T96" s="23" t="s">
        <v>90</v>
      </c>
      <c r="U96" s="23" t="s">
        <v>90</v>
      </c>
      <c r="W96" s="98"/>
      <c r="X96" s="99"/>
      <c r="Y96" s="99"/>
      <c r="Z96" s="99"/>
      <c r="AA96" s="99"/>
      <c r="AB96" s="99"/>
      <c r="AC96" s="99"/>
      <c r="AD96" s="99"/>
      <c r="AE96" s="99"/>
      <c r="AF96" s="99"/>
      <c r="AG96" s="99"/>
      <c r="AH96" s="99"/>
      <c r="AI96" s="99"/>
      <c r="AJ96" s="101" t="s">
        <v>64</v>
      </c>
      <c r="AK96" s="40">
        <v>0</v>
      </c>
      <c r="AL96" s="23">
        <v>0</v>
      </c>
      <c r="AM96" s="23">
        <v>0</v>
      </c>
      <c r="AN96" s="23">
        <v>100</v>
      </c>
      <c r="AO96" s="23">
        <v>0</v>
      </c>
      <c r="AP96" s="23">
        <v>0</v>
      </c>
      <c r="AQ96" s="23">
        <v>0</v>
      </c>
      <c r="AR96" s="23">
        <v>0</v>
      </c>
      <c r="AS96" s="23">
        <v>2650</v>
      </c>
      <c r="AT96" s="23">
        <v>0</v>
      </c>
      <c r="AU96" s="23" t="s">
        <v>76</v>
      </c>
      <c r="AW96" s="40">
        <v>0</v>
      </c>
      <c r="AX96" s="39" t="s">
        <v>118</v>
      </c>
      <c r="AY96" s="103">
        <v>5</v>
      </c>
      <c r="AZ96" s="22">
        <v>1500</v>
      </c>
      <c r="BA96" s="22">
        <v>5</v>
      </c>
      <c r="BB96" s="22">
        <v>500</v>
      </c>
      <c r="BC96" s="22"/>
      <c r="BD96" s="22"/>
      <c r="BE96" s="22"/>
      <c r="BF96" s="110" t="s">
        <v>76</v>
      </c>
      <c r="BG96" s="40" t="s">
        <v>63</v>
      </c>
      <c r="BI96" s="103" t="s">
        <v>77</v>
      </c>
      <c r="BJ96" s="110"/>
      <c r="BS96" s="39" t="s">
        <v>77</v>
      </c>
      <c r="BT96" s="40" t="s">
        <v>90</v>
      </c>
      <c r="BV96" s="23" t="s">
        <v>76</v>
      </c>
      <c r="BX96" s="23" t="s">
        <v>77</v>
      </c>
      <c r="BZ96" s="39" t="s">
        <v>77</v>
      </c>
    </row>
    <row r="97" spans="1:78" x14ac:dyDescent="0.25">
      <c r="A97">
        <v>1665</v>
      </c>
      <c r="B97" t="s">
        <v>58</v>
      </c>
      <c r="C97" t="s">
        <v>44</v>
      </c>
      <c r="D97" t="s">
        <v>210</v>
      </c>
      <c r="E97" s="40">
        <v>100000</v>
      </c>
      <c r="F97" s="39">
        <v>67000</v>
      </c>
      <c r="G97">
        <f t="shared" si="1"/>
        <v>67000</v>
      </c>
      <c r="H97" s="5">
        <v>2</v>
      </c>
      <c r="I97" s="2">
        <v>98</v>
      </c>
      <c r="J97" s="2">
        <v>0</v>
      </c>
      <c r="K97" s="2">
        <v>0</v>
      </c>
      <c r="L97" s="2">
        <v>1340</v>
      </c>
      <c r="M97" s="2">
        <v>65660</v>
      </c>
      <c r="N97" s="2">
        <v>0</v>
      </c>
      <c r="O97" s="6">
        <v>0</v>
      </c>
      <c r="P97" s="185"/>
      <c r="Q97" s="23">
        <v>47.5</v>
      </c>
      <c r="R97" s="23">
        <v>47.5</v>
      </c>
      <c r="S97" s="23">
        <v>47.5</v>
      </c>
      <c r="T97" s="23" t="s">
        <v>89</v>
      </c>
      <c r="U97" s="23" t="s">
        <v>89</v>
      </c>
      <c r="W97" s="40">
        <v>2</v>
      </c>
      <c r="X97" s="23">
        <v>1</v>
      </c>
      <c r="Y97" s="23">
        <v>55</v>
      </c>
      <c r="Z97" s="23">
        <v>10</v>
      </c>
      <c r="AA97" s="23">
        <v>10</v>
      </c>
      <c r="AB97" s="23">
        <v>22</v>
      </c>
      <c r="AC97" s="23">
        <v>26.8</v>
      </c>
      <c r="AD97" s="23">
        <v>13.4</v>
      </c>
      <c r="AE97" s="23">
        <v>737</v>
      </c>
      <c r="AF97" s="23">
        <v>134</v>
      </c>
      <c r="AG97" s="23">
        <v>134</v>
      </c>
      <c r="AH97" s="23">
        <v>294.8</v>
      </c>
      <c r="AJ97" s="101" t="s">
        <v>63</v>
      </c>
      <c r="AK97" s="98"/>
      <c r="AL97" s="99"/>
      <c r="AM97" s="99"/>
      <c r="AN97" s="99"/>
      <c r="AO97" s="99"/>
      <c r="AP97" s="99"/>
      <c r="AQ97" s="99"/>
      <c r="AR97" s="99"/>
      <c r="AS97" s="99"/>
      <c r="AT97" s="99"/>
      <c r="AU97" s="99" t="s">
        <v>77</v>
      </c>
      <c r="AX97" s="39" t="s">
        <v>77</v>
      </c>
      <c r="AY97" s="103"/>
      <c r="AZ97" s="22"/>
      <c r="BA97" s="22"/>
      <c r="BB97" s="22"/>
      <c r="BC97" s="22"/>
      <c r="BD97" s="22"/>
      <c r="BE97" s="22"/>
      <c r="BF97" s="110" t="s">
        <v>77</v>
      </c>
      <c r="BG97" s="40" t="s">
        <v>77</v>
      </c>
      <c r="BI97" s="103" t="s">
        <v>77</v>
      </c>
      <c r="BJ97" s="110"/>
      <c r="BS97" s="39" t="s">
        <v>77</v>
      </c>
      <c r="BT97" s="40" t="s">
        <v>90</v>
      </c>
      <c r="BV97" s="23" t="s">
        <v>76</v>
      </c>
      <c r="BX97" s="23" t="s">
        <v>77</v>
      </c>
      <c r="BZ97" s="39" t="s">
        <v>77</v>
      </c>
    </row>
    <row r="98" spans="1:78" x14ac:dyDescent="0.25">
      <c r="A98">
        <v>1666</v>
      </c>
      <c r="B98" t="s">
        <v>58</v>
      </c>
      <c r="C98" t="s">
        <v>45</v>
      </c>
      <c r="D98" t="s">
        <v>211</v>
      </c>
      <c r="E98" s="40">
        <v>24000</v>
      </c>
      <c r="F98" s="39">
        <v>20290.8</v>
      </c>
      <c r="G98">
        <f t="shared" si="1"/>
        <v>20290.800000000003</v>
      </c>
      <c r="H98" s="5">
        <v>0</v>
      </c>
      <c r="I98" s="2">
        <v>98.611193250142932</v>
      </c>
      <c r="J98" s="2">
        <v>1.3888067498570782</v>
      </c>
      <c r="K98" s="2">
        <v>0</v>
      </c>
      <c r="L98" s="2">
        <v>0</v>
      </c>
      <c r="M98" s="2">
        <v>20009.000000000004</v>
      </c>
      <c r="N98" s="2">
        <v>281.8</v>
      </c>
      <c r="O98" s="6">
        <v>0</v>
      </c>
      <c r="P98" s="185"/>
      <c r="Q98" s="23">
        <v>60</v>
      </c>
      <c r="R98" s="23">
        <v>45</v>
      </c>
      <c r="S98" s="23">
        <v>60</v>
      </c>
      <c r="T98" s="23" t="s">
        <v>89</v>
      </c>
      <c r="U98" s="23" t="s">
        <v>89</v>
      </c>
      <c r="W98" s="98"/>
      <c r="X98" s="99"/>
      <c r="Y98" s="99"/>
      <c r="Z98" s="99"/>
      <c r="AA98" s="99"/>
      <c r="AB98" s="99"/>
      <c r="AC98" s="99"/>
      <c r="AD98" s="99"/>
      <c r="AE98" s="99"/>
      <c r="AF98" s="99"/>
      <c r="AG98" s="99"/>
      <c r="AH98" s="99"/>
      <c r="AI98" s="99"/>
      <c r="AJ98" s="101" t="s">
        <v>64</v>
      </c>
      <c r="AK98" s="98"/>
      <c r="AL98" s="99"/>
      <c r="AM98" s="99"/>
      <c r="AN98" s="99"/>
      <c r="AO98" s="99"/>
      <c r="AP98" s="99"/>
      <c r="AQ98" s="99"/>
      <c r="AR98" s="99"/>
      <c r="AS98" s="99"/>
      <c r="AT98" s="99"/>
      <c r="AU98" s="99" t="s">
        <v>77</v>
      </c>
      <c r="AW98" s="40">
        <v>0</v>
      </c>
      <c r="AX98" s="39" t="s">
        <v>118</v>
      </c>
      <c r="AY98" s="103">
        <v>20</v>
      </c>
      <c r="AZ98" s="22">
        <v>150.30000000000001</v>
      </c>
      <c r="BA98" s="22">
        <v>20</v>
      </c>
      <c r="BB98" s="22">
        <v>150.30000000000001</v>
      </c>
      <c r="BC98" s="22"/>
      <c r="BD98" s="22"/>
      <c r="BE98" s="22"/>
      <c r="BF98" s="110" t="s">
        <v>76</v>
      </c>
      <c r="BG98" s="40" t="s">
        <v>158</v>
      </c>
      <c r="BH98" s="39" t="s">
        <v>238</v>
      </c>
      <c r="BI98" s="103" t="s">
        <v>77</v>
      </c>
      <c r="BJ98" s="110"/>
      <c r="BM98" s="23">
        <v>1.5</v>
      </c>
      <c r="BN98" s="23">
        <v>4.5999999999999996</v>
      </c>
      <c r="BS98" s="39" t="s">
        <v>76</v>
      </c>
      <c r="BT98" s="40" t="s">
        <v>90</v>
      </c>
      <c r="BV98" s="23" t="s">
        <v>76</v>
      </c>
      <c r="BX98" s="23" t="s">
        <v>77</v>
      </c>
      <c r="BZ98" s="39" t="s">
        <v>77</v>
      </c>
    </row>
    <row r="99" spans="1:78" x14ac:dyDescent="0.25">
      <c r="A99">
        <v>1680</v>
      </c>
      <c r="B99" t="s">
        <v>58</v>
      </c>
      <c r="C99" t="s">
        <v>45</v>
      </c>
      <c r="D99" t="s">
        <v>211</v>
      </c>
      <c r="E99" s="40">
        <v>15000</v>
      </c>
      <c r="F99" s="39">
        <v>24500</v>
      </c>
      <c r="G99">
        <f t="shared" si="1"/>
        <v>24500</v>
      </c>
      <c r="H99" s="5">
        <v>0</v>
      </c>
      <c r="I99" s="2">
        <v>99.91836734693878</v>
      </c>
      <c r="J99" s="2">
        <v>8.1632653061224497E-2</v>
      </c>
      <c r="K99" s="2">
        <v>0</v>
      </c>
      <c r="L99" s="2">
        <v>0</v>
      </c>
      <c r="M99" s="2">
        <v>24480</v>
      </c>
      <c r="N99" s="2">
        <v>20.000000000000004</v>
      </c>
      <c r="O99" s="6">
        <v>0</v>
      </c>
      <c r="P99" s="185"/>
      <c r="Q99" s="23">
        <v>62</v>
      </c>
      <c r="R99" s="23">
        <v>62</v>
      </c>
      <c r="T99" s="23" t="s">
        <v>89</v>
      </c>
      <c r="U99" s="23" t="s">
        <v>89</v>
      </c>
      <c r="W99" s="98"/>
      <c r="X99" s="99"/>
      <c r="Y99" s="99"/>
      <c r="Z99" s="99"/>
      <c r="AA99" s="99"/>
      <c r="AB99" s="99"/>
      <c r="AC99" s="99"/>
      <c r="AD99" s="99"/>
      <c r="AE99" s="99"/>
      <c r="AF99" s="99"/>
      <c r="AG99" s="99"/>
      <c r="AH99" s="99"/>
      <c r="AI99" s="99"/>
      <c r="AJ99" s="101" t="s">
        <v>64</v>
      </c>
      <c r="AK99" s="40">
        <v>0</v>
      </c>
      <c r="AL99" s="23">
        <v>0</v>
      </c>
      <c r="AM99" s="23">
        <v>0</v>
      </c>
      <c r="AN99" s="23">
        <v>100</v>
      </c>
      <c r="AO99" s="23">
        <v>0</v>
      </c>
      <c r="AP99" s="23">
        <v>0</v>
      </c>
      <c r="AQ99" s="23">
        <v>0</v>
      </c>
      <c r="AR99" s="23">
        <v>0</v>
      </c>
      <c r="AS99" s="23">
        <v>20.000000000000004</v>
      </c>
      <c r="AT99" s="23">
        <v>0</v>
      </c>
      <c r="AU99" s="23" t="s">
        <v>76</v>
      </c>
      <c r="AW99" s="40">
        <v>20</v>
      </c>
      <c r="AX99" s="39" t="s">
        <v>76</v>
      </c>
      <c r="AY99" s="103"/>
      <c r="AZ99" s="22"/>
      <c r="BA99" s="22"/>
      <c r="BB99" s="22"/>
      <c r="BC99" s="22"/>
      <c r="BD99" s="22"/>
      <c r="BE99" s="22"/>
      <c r="BF99" s="110" t="s">
        <v>77</v>
      </c>
      <c r="BG99" s="40" t="s">
        <v>63</v>
      </c>
      <c r="BI99" s="103" t="s">
        <v>77</v>
      </c>
      <c r="BJ99" s="110"/>
      <c r="BS99" s="39" t="s">
        <v>77</v>
      </c>
      <c r="BT99" s="40" t="s">
        <v>90</v>
      </c>
      <c r="BV99" s="23" t="s">
        <v>76</v>
      </c>
      <c r="BX99" s="23" t="s">
        <v>77</v>
      </c>
      <c r="BZ99" s="39" t="s">
        <v>77</v>
      </c>
    </row>
    <row r="100" spans="1:78" x14ac:dyDescent="0.25">
      <c r="A100">
        <v>1684</v>
      </c>
      <c r="B100" t="s">
        <v>58</v>
      </c>
      <c r="C100" t="s">
        <v>45</v>
      </c>
      <c r="D100" t="s">
        <v>211</v>
      </c>
      <c r="E100" s="40">
        <v>50000</v>
      </c>
      <c r="F100" s="39">
        <v>49566</v>
      </c>
      <c r="G100">
        <f t="shared" si="1"/>
        <v>49566</v>
      </c>
      <c r="H100" s="5">
        <v>0</v>
      </c>
      <c r="I100" s="2">
        <v>59</v>
      </c>
      <c r="J100" s="2">
        <v>0.1</v>
      </c>
      <c r="K100" s="2">
        <v>40.9</v>
      </c>
      <c r="L100" s="2">
        <v>0</v>
      </c>
      <c r="M100" s="2">
        <v>29243.940000000002</v>
      </c>
      <c r="N100" s="2">
        <v>49.566000000000003</v>
      </c>
      <c r="O100" s="6">
        <v>20272.493999999999</v>
      </c>
      <c r="P100" s="185"/>
      <c r="Q100" s="23">
        <v>58</v>
      </c>
      <c r="R100" s="23">
        <v>12</v>
      </c>
      <c r="S100" s="23">
        <v>12</v>
      </c>
      <c r="T100" s="23" t="s">
        <v>89</v>
      </c>
      <c r="U100" s="23" t="s">
        <v>90</v>
      </c>
      <c r="V100" s="39" t="s">
        <v>101</v>
      </c>
      <c r="W100" s="98"/>
      <c r="X100" s="99"/>
      <c r="Y100" s="99"/>
      <c r="Z100" s="99"/>
      <c r="AA100" s="99"/>
      <c r="AB100" s="99"/>
      <c r="AC100" s="99"/>
      <c r="AD100" s="99"/>
      <c r="AE100" s="99"/>
      <c r="AF100" s="99"/>
      <c r="AG100" s="99"/>
      <c r="AH100" s="99"/>
      <c r="AI100" s="99"/>
      <c r="AJ100" s="101" t="s">
        <v>64</v>
      </c>
      <c r="AK100" s="40">
        <v>15</v>
      </c>
      <c r="AL100" s="23">
        <v>20</v>
      </c>
      <c r="AM100" s="23">
        <v>5</v>
      </c>
      <c r="AN100" s="23">
        <v>60</v>
      </c>
      <c r="AO100" s="23">
        <v>0</v>
      </c>
      <c r="AP100" s="23">
        <v>7.4348999999999998</v>
      </c>
      <c r="AQ100" s="23">
        <v>9.9132000000000016</v>
      </c>
      <c r="AR100" s="23">
        <v>2.4783000000000004</v>
      </c>
      <c r="AS100" s="23">
        <v>29.739599999999999</v>
      </c>
      <c r="AT100" s="23">
        <v>0</v>
      </c>
      <c r="AU100" s="23" t="s">
        <v>76</v>
      </c>
      <c r="AW100" s="40">
        <v>0</v>
      </c>
      <c r="AX100" s="39" t="s">
        <v>118</v>
      </c>
      <c r="AY100" s="103"/>
      <c r="AZ100" s="22"/>
      <c r="BA100" s="22"/>
      <c r="BB100" s="22"/>
      <c r="BC100" s="22"/>
      <c r="BD100" s="22"/>
      <c r="BE100" s="22"/>
      <c r="BF100" s="110" t="s">
        <v>77</v>
      </c>
      <c r="BG100" s="40" t="s">
        <v>63</v>
      </c>
      <c r="BI100" s="103" t="s">
        <v>77</v>
      </c>
      <c r="BJ100" s="110"/>
      <c r="BS100" s="39" t="s">
        <v>77</v>
      </c>
      <c r="BT100" s="40" t="s">
        <v>90</v>
      </c>
      <c r="BV100" s="23" t="s">
        <v>76</v>
      </c>
      <c r="BX100" s="23" t="s">
        <v>77</v>
      </c>
      <c r="BZ100" s="39" t="s">
        <v>77</v>
      </c>
    </row>
    <row r="101" spans="1:78" x14ac:dyDescent="0.25">
      <c r="A101">
        <v>1686</v>
      </c>
      <c r="B101" t="s">
        <v>59</v>
      </c>
      <c r="C101" t="s">
        <v>45</v>
      </c>
      <c r="D101" t="s">
        <v>211</v>
      </c>
      <c r="E101" s="40">
        <v>50000</v>
      </c>
      <c r="F101" s="39">
        <v>39758</v>
      </c>
      <c r="G101">
        <f t="shared" si="1"/>
        <v>39758</v>
      </c>
      <c r="H101" s="5">
        <f>(L101/G101)*100</f>
        <v>0.95326726696513919</v>
      </c>
      <c r="I101" s="2">
        <f>(M101/G101)*100</f>
        <v>99.046732733034858</v>
      </c>
      <c r="J101" s="2">
        <v>0</v>
      </c>
      <c r="K101" s="2">
        <v>0</v>
      </c>
      <c r="L101" s="2">
        <v>379.00000000000006</v>
      </c>
      <c r="M101" s="2">
        <v>39379</v>
      </c>
      <c r="N101" s="2">
        <v>0</v>
      </c>
      <c r="O101" s="6">
        <v>0</v>
      </c>
      <c r="P101" s="185"/>
      <c r="Q101" s="23">
        <v>49</v>
      </c>
      <c r="R101" s="23">
        <v>40</v>
      </c>
      <c r="T101" s="23" t="s">
        <v>64</v>
      </c>
      <c r="U101" s="23" t="s">
        <v>64</v>
      </c>
      <c r="W101" s="40">
        <v>0</v>
      </c>
      <c r="X101" s="23">
        <v>100</v>
      </c>
      <c r="Y101" s="23">
        <v>0</v>
      </c>
      <c r="Z101" s="23">
        <v>0</v>
      </c>
      <c r="AA101" s="23">
        <v>0</v>
      </c>
      <c r="AB101" s="23">
        <v>0</v>
      </c>
      <c r="AC101" s="23">
        <v>0</v>
      </c>
      <c r="AD101" s="23">
        <v>379.00000000000006</v>
      </c>
      <c r="AE101" s="23">
        <v>0</v>
      </c>
      <c r="AF101" s="23">
        <v>0</v>
      </c>
      <c r="AG101" s="23">
        <v>0</v>
      </c>
      <c r="AH101" s="23">
        <v>0</v>
      </c>
      <c r="AJ101" s="101" t="s">
        <v>134</v>
      </c>
      <c r="AK101" s="98"/>
      <c r="AL101" s="99"/>
      <c r="AM101" s="99"/>
      <c r="AN101" s="99"/>
      <c r="AO101" s="99"/>
      <c r="AP101" s="99"/>
      <c r="AQ101" s="99"/>
      <c r="AR101" s="99"/>
      <c r="AS101" s="99"/>
      <c r="AT101" s="99"/>
      <c r="AU101" s="99" t="s">
        <v>77</v>
      </c>
      <c r="AX101" s="39" t="s">
        <v>77</v>
      </c>
      <c r="AY101" s="103"/>
      <c r="AZ101" s="22"/>
      <c r="BA101" s="22"/>
      <c r="BB101" s="22"/>
      <c r="BC101" s="22"/>
      <c r="BD101" s="22"/>
      <c r="BE101" s="22"/>
      <c r="BF101" s="110" t="s">
        <v>77</v>
      </c>
      <c r="BG101" s="40" t="s">
        <v>77</v>
      </c>
      <c r="BI101" s="103" t="s">
        <v>77</v>
      </c>
      <c r="BJ101" s="110"/>
      <c r="BS101" s="39" t="s">
        <v>77</v>
      </c>
      <c r="BT101" s="40" t="s">
        <v>77</v>
      </c>
      <c r="BV101" s="23" t="s">
        <v>201</v>
      </c>
      <c r="BX101" s="23" t="s">
        <v>77</v>
      </c>
      <c r="BZ101" s="39" t="s">
        <v>77</v>
      </c>
    </row>
    <row r="102" spans="1:78" x14ac:dyDescent="0.25">
      <c r="A102">
        <v>1691</v>
      </c>
      <c r="B102" t="s">
        <v>59</v>
      </c>
      <c r="C102" t="s">
        <v>45</v>
      </c>
      <c r="D102" t="s">
        <v>211</v>
      </c>
      <c r="E102" s="40">
        <v>162000</v>
      </c>
      <c r="F102" s="39">
        <v>132000</v>
      </c>
      <c r="G102">
        <f t="shared" si="1"/>
        <v>132000</v>
      </c>
      <c r="H102" s="5">
        <v>0</v>
      </c>
      <c r="I102" s="2">
        <v>81.481481481481481</v>
      </c>
      <c r="J102" s="2">
        <v>0</v>
      </c>
      <c r="K102" s="2">
        <v>18.518518518518519</v>
      </c>
      <c r="L102" s="2">
        <v>0</v>
      </c>
      <c r="M102" s="2">
        <v>107555.55555555556</v>
      </c>
      <c r="N102" s="2">
        <v>0</v>
      </c>
      <c r="O102" s="6">
        <v>24444.444444444445</v>
      </c>
      <c r="P102" s="185"/>
      <c r="Q102" s="23">
        <v>54</v>
      </c>
      <c r="S102" s="23">
        <v>54</v>
      </c>
      <c r="T102" s="23" t="s">
        <v>64</v>
      </c>
      <c r="U102" s="23" t="s">
        <v>64</v>
      </c>
      <c r="W102" s="98"/>
      <c r="X102" s="99"/>
      <c r="Y102" s="99"/>
      <c r="Z102" s="99"/>
      <c r="AA102" s="99"/>
      <c r="AB102" s="99"/>
      <c r="AC102" s="99"/>
      <c r="AD102" s="99"/>
      <c r="AE102" s="99"/>
      <c r="AF102" s="99"/>
      <c r="AG102" s="99"/>
      <c r="AH102" s="99"/>
      <c r="AI102" s="99"/>
      <c r="AJ102" s="101" t="s">
        <v>64</v>
      </c>
      <c r="AK102" s="98"/>
      <c r="AL102" s="99"/>
      <c r="AM102" s="99"/>
      <c r="AN102" s="99"/>
      <c r="AO102" s="99"/>
      <c r="AP102" s="99"/>
      <c r="AQ102" s="99"/>
      <c r="AR102" s="99"/>
      <c r="AS102" s="99"/>
      <c r="AT102" s="99"/>
      <c r="AU102" s="99" t="s">
        <v>77</v>
      </c>
      <c r="AX102" s="39" t="s">
        <v>77</v>
      </c>
      <c r="AY102" s="103"/>
      <c r="AZ102" s="22"/>
      <c r="BA102" s="22"/>
      <c r="BB102" s="22"/>
      <c r="BC102" s="22"/>
      <c r="BD102" s="22"/>
      <c r="BE102" s="22" t="s">
        <v>64</v>
      </c>
      <c r="BF102" s="110" t="s">
        <v>76</v>
      </c>
      <c r="BG102" s="40" t="s">
        <v>63</v>
      </c>
      <c r="BI102" s="103" t="s">
        <v>77</v>
      </c>
      <c r="BJ102" s="110"/>
      <c r="BS102" s="39" t="s">
        <v>77</v>
      </c>
      <c r="BT102" s="40" t="s">
        <v>90</v>
      </c>
      <c r="BV102" s="23" t="s">
        <v>76</v>
      </c>
      <c r="BX102" s="23" t="s">
        <v>77</v>
      </c>
      <c r="BZ102" s="39" t="s">
        <v>77</v>
      </c>
    </row>
    <row r="103" spans="1:78" x14ac:dyDescent="0.25">
      <c r="A103">
        <v>1709</v>
      </c>
      <c r="B103" t="s">
        <v>58</v>
      </c>
      <c r="C103" t="s">
        <v>46</v>
      </c>
      <c r="D103" t="s">
        <v>212</v>
      </c>
      <c r="E103" s="40">
        <v>35000</v>
      </c>
      <c r="F103" s="39">
        <v>49000</v>
      </c>
      <c r="G103">
        <f t="shared" si="1"/>
        <v>49000.000000000007</v>
      </c>
      <c r="H103" s="5">
        <v>20.618556701030926</v>
      </c>
      <c r="I103" s="2">
        <v>61.855670103092784</v>
      </c>
      <c r="J103" s="2">
        <v>13.814432989690722</v>
      </c>
      <c r="K103" s="2">
        <v>3.7113402061855671</v>
      </c>
      <c r="L103" s="2">
        <v>10103.092783505153</v>
      </c>
      <c r="M103" s="2">
        <v>30309.278350515466</v>
      </c>
      <c r="N103" s="2">
        <v>6769.072164948454</v>
      </c>
      <c r="O103" s="6">
        <v>1818.556701030928</v>
      </c>
      <c r="P103" s="185"/>
      <c r="Q103" s="23">
        <v>60</v>
      </c>
      <c r="S103" s="23">
        <v>60</v>
      </c>
      <c r="T103" s="23" t="s">
        <v>89</v>
      </c>
      <c r="U103" s="23" t="s">
        <v>89</v>
      </c>
      <c r="W103" s="98"/>
      <c r="X103" s="99"/>
      <c r="Y103" s="99"/>
      <c r="Z103" s="99"/>
      <c r="AA103" s="99"/>
      <c r="AB103" s="99"/>
      <c r="AC103" s="99"/>
      <c r="AD103" s="99"/>
      <c r="AE103" s="99"/>
      <c r="AF103" s="99"/>
      <c r="AG103" s="99"/>
      <c r="AH103" s="99"/>
      <c r="AI103" s="99"/>
      <c r="AJ103" s="101" t="s">
        <v>77</v>
      </c>
      <c r="AK103" s="98"/>
      <c r="AL103" s="99"/>
      <c r="AM103" s="99"/>
      <c r="AN103" s="99"/>
      <c r="AO103" s="99"/>
      <c r="AP103" s="99"/>
      <c r="AQ103" s="99"/>
      <c r="AR103" s="99"/>
      <c r="AS103" s="99"/>
      <c r="AT103" s="99"/>
      <c r="AU103" s="99" t="s">
        <v>77</v>
      </c>
      <c r="AX103" s="39" t="s">
        <v>77</v>
      </c>
      <c r="AY103" s="103"/>
      <c r="AZ103" s="22"/>
      <c r="BA103" s="22"/>
      <c r="BB103" s="22"/>
      <c r="BC103" s="22"/>
      <c r="BD103" s="22"/>
      <c r="BE103" s="22"/>
      <c r="BF103" s="110" t="s">
        <v>77</v>
      </c>
      <c r="BG103" s="40" t="s">
        <v>77</v>
      </c>
      <c r="BI103" s="103" t="s">
        <v>77</v>
      </c>
      <c r="BJ103" s="110"/>
      <c r="BS103" s="39" t="s">
        <v>77</v>
      </c>
      <c r="BT103" s="40" t="s">
        <v>77</v>
      </c>
      <c r="BV103" s="23" t="s">
        <v>201</v>
      </c>
      <c r="BX103" s="23" t="s">
        <v>77</v>
      </c>
      <c r="BZ103" s="39" t="s">
        <v>77</v>
      </c>
    </row>
    <row r="104" spans="1:78" x14ac:dyDescent="0.25">
      <c r="A104">
        <v>1714</v>
      </c>
      <c r="B104" t="s">
        <v>59</v>
      </c>
      <c r="C104" t="s">
        <v>46</v>
      </c>
      <c r="D104" t="s">
        <v>212</v>
      </c>
      <c r="E104" s="40">
        <v>600</v>
      </c>
      <c r="F104" s="39">
        <v>1843</v>
      </c>
      <c r="H104" s="178"/>
      <c r="I104" s="177"/>
      <c r="J104" s="177"/>
      <c r="K104" s="177"/>
      <c r="L104" s="177"/>
      <c r="M104" s="177"/>
      <c r="N104" s="177"/>
      <c r="O104" s="179"/>
      <c r="P104" s="185"/>
      <c r="T104" s="23" t="s">
        <v>64</v>
      </c>
      <c r="U104" s="23" t="s">
        <v>63</v>
      </c>
      <c r="V104" s="39" t="s">
        <v>102</v>
      </c>
      <c r="W104" s="98"/>
      <c r="X104" s="99"/>
      <c r="Y104" s="99"/>
      <c r="Z104" s="99"/>
      <c r="AA104" s="99"/>
      <c r="AB104" s="99"/>
      <c r="AC104" s="99"/>
      <c r="AD104" s="99"/>
      <c r="AE104" s="99"/>
      <c r="AF104" s="99"/>
      <c r="AG104" s="99"/>
      <c r="AH104" s="99"/>
      <c r="AI104" s="99"/>
      <c r="AJ104" s="101" t="s">
        <v>64</v>
      </c>
      <c r="AK104" s="98"/>
      <c r="AL104" s="99"/>
      <c r="AM104" s="99"/>
      <c r="AN104" s="99"/>
      <c r="AO104" s="99"/>
      <c r="AP104" s="99"/>
      <c r="AQ104" s="99"/>
      <c r="AR104" s="99"/>
      <c r="AS104" s="99"/>
      <c r="AT104" s="99"/>
      <c r="AU104" s="99" t="s">
        <v>77</v>
      </c>
      <c r="AW104" s="40">
        <v>0</v>
      </c>
      <c r="AX104" s="39" t="s">
        <v>118</v>
      </c>
      <c r="AY104" s="103"/>
      <c r="AZ104" s="22"/>
      <c r="BA104" s="22"/>
      <c r="BB104" s="22"/>
      <c r="BC104" s="22"/>
      <c r="BD104" s="22"/>
      <c r="BE104" s="22" t="s">
        <v>64</v>
      </c>
      <c r="BF104" s="110" t="s">
        <v>76</v>
      </c>
      <c r="BG104" s="40" t="s">
        <v>158</v>
      </c>
      <c r="BH104" s="39" t="s">
        <v>239</v>
      </c>
      <c r="BI104" s="103" t="s">
        <v>64</v>
      </c>
      <c r="BJ104" s="110">
        <v>0</v>
      </c>
      <c r="BR104" s="23" t="s">
        <v>64</v>
      </c>
      <c r="BS104" s="39" t="s">
        <v>65</v>
      </c>
      <c r="BT104" s="40" t="s">
        <v>63</v>
      </c>
      <c r="BV104" s="23" t="s">
        <v>76</v>
      </c>
      <c r="BX104" s="23" t="s">
        <v>77</v>
      </c>
      <c r="BZ104" s="39" t="s">
        <v>77</v>
      </c>
    </row>
    <row r="105" spans="1:78" x14ac:dyDescent="0.25">
      <c r="A105">
        <v>1727</v>
      </c>
      <c r="B105" t="s">
        <v>58</v>
      </c>
      <c r="C105" t="s">
        <v>46</v>
      </c>
      <c r="D105" t="s">
        <v>212</v>
      </c>
      <c r="E105" s="40">
        <v>1500</v>
      </c>
      <c r="F105" s="39"/>
      <c r="H105" s="178"/>
      <c r="I105" s="177"/>
      <c r="J105" s="177"/>
      <c r="K105" s="177"/>
      <c r="L105" s="177"/>
      <c r="M105" s="177"/>
      <c r="N105" s="177"/>
      <c r="O105" s="179"/>
      <c r="P105" s="185"/>
      <c r="Q105" s="23">
        <v>26</v>
      </c>
      <c r="T105" s="23" t="s">
        <v>90</v>
      </c>
      <c r="U105" s="23" t="s">
        <v>90</v>
      </c>
      <c r="W105" s="98"/>
      <c r="X105" s="99"/>
      <c r="Y105" s="99"/>
      <c r="Z105" s="99"/>
      <c r="AA105" s="99"/>
      <c r="AB105" s="99"/>
      <c r="AC105" s="99"/>
      <c r="AD105" s="99"/>
      <c r="AE105" s="99"/>
      <c r="AF105" s="99"/>
      <c r="AG105" s="99"/>
      <c r="AH105" s="99"/>
      <c r="AI105" s="99"/>
      <c r="AJ105" s="101" t="s">
        <v>63</v>
      </c>
      <c r="AK105" s="98"/>
      <c r="AL105" s="99"/>
      <c r="AM105" s="99"/>
      <c r="AN105" s="99"/>
      <c r="AO105" s="99"/>
      <c r="AP105" s="99"/>
      <c r="AQ105" s="99"/>
      <c r="AR105" s="99"/>
      <c r="AS105" s="99"/>
      <c r="AT105" s="99"/>
      <c r="AU105" s="99" t="s">
        <v>77</v>
      </c>
      <c r="AV105" s="39" t="s">
        <v>64</v>
      </c>
      <c r="AX105" s="39" t="s">
        <v>77</v>
      </c>
      <c r="AY105" s="103"/>
      <c r="AZ105" s="22"/>
      <c r="BA105" s="22"/>
      <c r="BB105" s="22"/>
      <c r="BC105" s="22"/>
      <c r="BD105" s="22"/>
      <c r="BE105" s="22"/>
      <c r="BF105" s="110" t="s">
        <v>77</v>
      </c>
      <c r="BG105" s="40" t="s">
        <v>77</v>
      </c>
      <c r="BI105" s="103" t="s">
        <v>77</v>
      </c>
      <c r="BJ105" s="110"/>
      <c r="BS105" s="39" t="s">
        <v>77</v>
      </c>
      <c r="BT105" s="40" t="s">
        <v>90</v>
      </c>
      <c r="BV105" s="23" t="s">
        <v>76</v>
      </c>
      <c r="BX105" s="23" t="s">
        <v>77</v>
      </c>
      <c r="BZ105" s="39" t="s">
        <v>77</v>
      </c>
    </row>
    <row r="106" spans="1:78" x14ac:dyDescent="0.25">
      <c r="A106">
        <v>1730</v>
      </c>
      <c r="B106" t="s">
        <v>59</v>
      </c>
      <c r="C106" t="s">
        <v>46</v>
      </c>
      <c r="D106" t="s">
        <v>212</v>
      </c>
      <c r="E106" s="40">
        <v>38000</v>
      </c>
      <c r="F106" s="39">
        <v>58000</v>
      </c>
      <c r="G106">
        <f t="shared" si="1"/>
        <v>58000</v>
      </c>
      <c r="H106" s="5">
        <v>5.1724137931034484</v>
      </c>
      <c r="I106" s="2">
        <v>82.758620689655174</v>
      </c>
      <c r="J106" s="2">
        <v>10.344827586206897</v>
      </c>
      <c r="K106" s="2">
        <v>1.7241379310344827</v>
      </c>
      <c r="L106" s="2">
        <v>3000</v>
      </c>
      <c r="M106" s="2">
        <v>48000</v>
      </c>
      <c r="N106" s="2">
        <v>6000</v>
      </c>
      <c r="O106" s="6">
        <v>1000</v>
      </c>
      <c r="P106" s="185"/>
      <c r="Q106" s="23">
        <v>50</v>
      </c>
      <c r="R106" s="23">
        <v>50</v>
      </c>
      <c r="S106" s="23">
        <v>50</v>
      </c>
      <c r="T106" s="23" t="s">
        <v>64</v>
      </c>
      <c r="U106" s="23" t="s">
        <v>64</v>
      </c>
      <c r="W106" s="40">
        <v>8.695652173913043</v>
      </c>
      <c r="X106" s="23">
        <v>4.3478260869565215</v>
      </c>
      <c r="Y106" s="23">
        <v>43.478260869565219</v>
      </c>
      <c r="Z106" s="23">
        <v>4.3478260869565215</v>
      </c>
      <c r="AA106" s="23">
        <v>30.434782608695656</v>
      </c>
      <c r="AB106" s="23">
        <v>8.695652173913043</v>
      </c>
      <c r="AC106" s="23">
        <v>260.86956521739131</v>
      </c>
      <c r="AD106" s="23">
        <v>130.43478260869566</v>
      </c>
      <c r="AE106" s="23">
        <v>1304.3478260869567</v>
      </c>
      <c r="AF106" s="23">
        <v>130.43478260869566</v>
      </c>
      <c r="AG106" s="23">
        <v>913.04347826086973</v>
      </c>
      <c r="AH106" s="23">
        <v>260.86956521739131</v>
      </c>
      <c r="AJ106" s="101" t="s">
        <v>64</v>
      </c>
      <c r="AK106" s="40">
        <v>0</v>
      </c>
      <c r="AL106" s="23">
        <v>0</v>
      </c>
      <c r="AM106" s="23">
        <v>0</v>
      </c>
      <c r="AN106" s="23">
        <v>100</v>
      </c>
      <c r="AO106" s="23">
        <v>0</v>
      </c>
      <c r="AP106" s="23">
        <v>0</v>
      </c>
      <c r="AQ106" s="23">
        <v>0</v>
      </c>
      <c r="AR106" s="23">
        <v>0</v>
      </c>
      <c r="AS106" s="23">
        <v>6000</v>
      </c>
      <c r="AT106" s="23">
        <v>0</v>
      </c>
      <c r="AU106" s="23" t="s">
        <v>76</v>
      </c>
      <c r="AW106" s="40">
        <v>0</v>
      </c>
      <c r="AX106" s="39" t="s">
        <v>118</v>
      </c>
      <c r="AY106" s="103"/>
      <c r="AZ106" s="22"/>
      <c r="BA106" s="22"/>
      <c r="BB106" s="22"/>
      <c r="BC106" s="22"/>
      <c r="BD106" s="22"/>
      <c r="BE106" s="22" t="s">
        <v>64</v>
      </c>
      <c r="BF106" s="110" t="s">
        <v>76</v>
      </c>
      <c r="BG106" s="40" t="s">
        <v>63</v>
      </c>
      <c r="BI106" s="103" t="s">
        <v>77</v>
      </c>
      <c r="BJ106" s="110"/>
      <c r="BS106" s="39" t="s">
        <v>77</v>
      </c>
      <c r="BT106" s="40" t="s">
        <v>77</v>
      </c>
      <c r="BV106" s="23" t="s">
        <v>201</v>
      </c>
      <c r="BX106" s="23" t="s">
        <v>77</v>
      </c>
      <c r="BZ106" s="39" t="s">
        <v>77</v>
      </c>
    </row>
    <row r="107" spans="1:78" x14ac:dyDescent="0.25">
      <c r="A107">
        <v>1731</v>
      </c>
      <c r="B107" t="s">
        <v>59</v>
      </c>
      <c r="C107" t="s">
        <v>46</v>
      </c>
      <c r="D107" t="s">
        <v>212</v>
      </c>
      <c r="E107" s="40">
        <v>25000</v>
      </c>
      <c r="F107" s="39">
        <v>6354.36</v>
      </c>
      <c r="G107">
        <f t="shared" si="1"/>
        <v>6354.3600000000006</v>
      </c>
      <c r="H107" s="5">
        <v>0</v>
      </c>
      <c r="I107" s="2">
        <v>50</v>
      </c>
      <c r="J107" s="2">
        <v>50</v>
      </c>
      <c r="K107" s="2">
        <v>0</v>
      </c>
      <c r="L107" s="2">
        <v>0</v>
      </c>
      <c r="M107" s="2">
        <v>3177.1800000000003</v>
      </c>
      <c r="N107" s="2">
        <v>3177.1800000000003</v>
      </c>
      <c r="O107" s="6">
        <v>0</v>
      </c>
      <c r="P107" s="185"/>
      <c r="Q107" s="23">
        <v>115</v>
      </c>
      <c r="R107" s="23">
        <v>70</v>
      </c>
      <c r="T107" s="23" t="s">
        <v>63</v>
      </c>
      <c r="U107" s="23" t="s">
        <v>90</v>
      </c>
      <c r="W107" s="98"/>
      <c r="X107" s="99"/>
      <c r="Y107" s="99"/>
      <c r="Z107" s="99"/>
      <c r="AA107" s="99"/>
      <c r="AB107" s="99"/>
      <c r="AC107" s="99"/>
      <c r="AD107" s="99"/>
      <c r="AE107" s="99"/>
      <c r="AF107" s="99"/>
      <c r="AG107" s="99"/>
      <c r="AH107" s="99"/>
      <c r="AI107" s="99"/>
      <c r="AJ107" s="101" t="s">
        <v>64</v>
      </c>
      <c r="AK107" s="98"/>
      <c r="AL107" s="99"/>
      <c r="AM107" s="99"/>
      <c r="AN107" s="99"/>
      <c r="AO107" s="99"/>
      <c r="AP107" s="99"/>
      <c r="AQ107" s="99"/>
      <c r="AR107" s="99"/>
      <c r="AS107" s="99"/>
      <c r="AT107" s="99"/>
      <c r="AU107" s="99" t="s">
        <v>77</v>
      </c>
      <c r="AX107" s="39" t="s">
        <v>77</v>
      </c>
      <c r="AY107" s="103"/>
      <c r="AZ107" s="22"/>
      <c r="BA107" s="22"/>
      <c r="BB107" s="22"/>
      <c r="BC107" s="22"/>
      <c r="BD107" s="22"/>
      <c r="BE107" s="22"/>
      <c r="BF107" s="110" t="s">
        <v>77</v>
      </c>
      <c r="BG107" s="40" t="s">
        <v>63</v>
      </c>
      <c r="BI107" s="103" t="s">
        <v>77</v>
      </c>
      <c r="BJ107" s="110"/>
      <c r="BS107" s="39" t="s">
        <v>77</v>
      </c>
      <c r="BT107" s="40" t="s">
        <v>77</v>
      </c>
      <c r="BV107" s="23" t="s">
        <v>201</v>
      </c>
      <c r="BX107" s="23" t="s">
        <v>77</v>
      </c>
      <c r="BZ107" s="39" t="s">
        <v>77</v>
      </c>
    </row>
    <row r="108" spans="1:78" x14ac:dyDescent="0.25">
      <c r="A108">
        <v>1735</v>
      </c>
      <c r="B108" t="s">
        <v>59</v>
      </c>
      <c r="C108" t="s">
        <v>46</v>
      </c>
      <c r="D108" t="s">
        <v>212</v>
      </c>
      <c r="E108" s="40">
        <v>18000</v>
      </c>
      <c r="F108" s="39">
        <v>26500</v>
      </c>
      <c r="G108">
        <f t="shared" si="1"/>
        <v>26500</v>
      </c>
      <c r="H108" s="5">
        <v>21.842009464870767</v>
      </c>
      <c r="I108" s="2">
        <v>72.806698216235901</v>
      </c>
      <c r="J108" s="2">
        <v>5.3512923188933383</v>
      </c>
      <c r="K108" s="2">
        <v>0</v>
      </c>
      <c r="L108" s="2">
        <v>5788.1325081907526</v>
      </c>
      <c r="M108" s="2">
        <v>19293.775027302512</v>
      </c>
      <c r="N108" s="2">
        <v>1418.0924645067348</v>
      </c>
      <c r="O108" s="6">
        <v>0</v>
      </c>
      <c r="P108" s="185"/>
      <c r="T108" s="23" t="s">
        <v>90</v>
      </c>
      <c r="U108" s="23" t="s">
        <v>90</v>
      </c>
      <c r="V108" s="39" t="s">
        <v>103</v>
      </c>
      <c r="W108" s="98"/>
      <c r="X108" s="99"/>
      <c r="Y108" s="99"/>
      <c r="Z108" s="99"/>
      <c r="AA108" s="99"/>
      <c r="AB108" s="99"/>
      <c r="AC108" s="99"/>
      <c r="AD108" s="99"/>
      <c r="AE108" s="99"/>
      <c r="AF108" s="99"/>
      <c r="AG108" s="99"/>
      <c r="AH108" s="99"/>
      <c r="AI108" s="99"/>
      <c r="AJ108" s="101" t="s">
        <v>64</v>
      </c>
      <c r="AK108" s="98"/>
      <c r="AL108" s="99"/>
      <c r="AM108" s="99"/>
      <c r="AN108" s="99"/>
      <c r="AO108" s="99"/>
      <c r="AP108" s="99"/>
      <c r="AQ108" s="99"/>
      <c r="AR108" s="99"/>
      <c r="AS108" s="99"/>
      <c r="AT108" s="99"/>
      <c r="AU108" s="99" t="s">
        <v>77</v>
      </c>
      <c r="AX108" s="39" t="s">
        <v>77</v>
      </c>
      <c r="AY108" s="103"/>
      <c r="AZ108" s="22"/>
      <c r="BA108" s="22"/>
      <c r="BB108" s="22"/>
      <c r="BC108" s="22"/>
      <c r="BD108" s="22"/>
      <c r="BE108" s="22"/>
      <c r="BF108" s="110" t="s">
        <v>77</v>
      </c>
      <c r="BG108" s="40" t="s">
        <v>77</v>
      </c>
      <c r="BI108" s="103" t="s">
        <v>77</v>
      </c>
      <c r="BJ108" s="110"/>
      <c r="BS108" s="39" t="s">
        <v>77</v>
      </c>
      <c r="BT108" s="40" t="s">
        <v>77</v>
      </c>
      <c r="BV108" s="23" t="s">
        <v>201</v>
      </c>
      <c r="BX108" s="23" t="s">
        <v>77</v>
      </c>
      <c r="BZ108" s="39" t="s">
        <v>77</v>
      </c>
    </row>
    <row r="109" spans="1:78" x14ac:dyDescent="0.25">
      <c r="A109">
        <v>1739</v>
      </c>
      <c r="B109" t="s">
        <v>58</v>
      </c>
      <c r="C109" t="s">
        <v>47</v>
      </c>
      <c r="D109" t="s">
        <v>212</v>
      </c>
      <c r="E109" s="40">
        <v>440000</v>
      </c>
      <c r="F109" s="39">
        <v>440000</v>
      </c>
      <c r="G109">
        <f t="shared" si="1"/>
        <v>440000</v>
      </c>
      <c r="H109" s="5">
        <v>10.1</v>
      </c>
      <c r="I109" s="2">
        <v>89.9</v>
      </c>
      <c r="J109" s="2">
        <v>0</v>
      </c>
      <c r="K109" s="2">
        <v>0</v>
      </c>
      <c r="L109" s="2">
        <v>44440</v>
      </c>
      <c r="M109" s="2">
        <v>395560</v>
      </c>
      <c r="N109" s="2">
        <v>0</v>
      </c>
      <c r="O109" s="6">
        <v>0</v>
      </c>
      <c r="P109" s="185"/>
      <c r="Q109" s="23">
        <v>33</v>
      </c>
      <c r="R109" s="23">
        <v>22</v>
      </c>
      <c r="T109" s="23" t="s">
        <v>89</v>
      </c>
      <c r="U109" s="23" t="s">
        <v>89</v>
      </c>
      <c r="W109" s="40">
        <v>0</v>
      </c>
      <c r="X109" s="23">
        <v>0</v>
      </c>
      <c r="Y109" s="23">
        <v>39.147286821705421</v>
      </c>
      <c r="Z109" s="23">
        <v>0</v>
      </c>
      <c r="AA109" s="23">
        <v>55.038759689922479</v>
      </c>
      <c r="AB109" s="23">
        <v>5.8139534883720927</v>
      </c>
      <c r="AC109" s="23">
        <v>0</v>
      </c>
      <c r="AD109" s="23">
        <v>0</v>
      </c>
      <c r="AE109" s="23">
        <v>17397.054263565889</v>
      </c>
      <c r="AF109" s="23">
        <v>0</v>
      </c>
      <c r="AG109" s="23">
        <v>24459.224806201553</v>
      </c>
      <c r="AH109" s="23">
        <v>2583.7209302325577</v>
      </c>
      <c r="AJ109" s="101" t="s">
        <v>64</v>
      </c>
      <c r="AK109" s="98"/>
      <c r="AL109" s="99"/>
      <c r="AM109" s="99"/>
      <c r="AN109" s="99"/>
      <c r="AO109" s="99"/>
      <c r="AP109" s="99"/>
      <c r="AQ109" s="99"/>
      <c r="AR109" s="99"/>
      <c r="AS109" s="99"/>
      <c r="AT109" s="99"/>
      <c r="AU109" s="99" t="s">
        <v>77</v>
      </c>
      <c r="AV109" s="39" t="s">
        <v>89</v>
      </c>
      <c r="AW109" s="40">
        <v>0</v>
      </c>
      <c r="AX109" s="39" t="s">
        <v>118</v>
      </c>
      <c r="AY109" s="103"/>
      <c r="AZ109" s="22"/>
      <c r="BA109" s="22"/>
      <c r="BB109" s="22"/>
      <c r="BC109" s="22"/>
      <c r="BD109" s="22"/>
      <c r="BE109" s="22"/>
      <c r="BF109" s="110" t="s">
        <v>77</v>
      </c>
      <c r="BG109" s="40" t="s">
        <v>63</v>
      </c>
      <c r="BI109" s="103" t="s">
        <v>77</v>
      </c>
      <c r="BJ109" s="110"/>
      <c r="BS109" s="39" t="s">
        <v>77</v>
      </c>
      <c r="BT109" s="40" t="s">
        <v>90</v>
      </c>
      <c r="BV109" s="23" t="s">
        <v>76</v>
      </c>
      <c r="BX109" s="23" t="s">
        <v>77</v>
      </c>
      <c r="BZ109" s="39" t="s">
        <v>77</v>
      </c>
    </row>
    <row r="110" spans="1:78" x14ac:dyDescent="0.25">
      <c r="A110">
        <v>1744</v>
      </c>
      <c r="B110" t="s">
        <v>59</v>
      </c>
      <c r="C110" t="s">
        <v>15</v>
      </c>
      <c r="D110" t="s">
        <v>212</v>
      </c>
      <c r="E110" s="40">
        <v>472592</v>
      </c>
      <c r="F110" s="39">
        <v>493250.48</v>
      </c>
      <c r="G110">
        <f t="shared" si="1"/>
        <v>493250.49</v>
      </c>
      <c r="H110" s="5">
        <v>0</v>
      </c>
      <c r="I110" s="2">
        <v>90.207085049364778</v>
      </c>
      <c r="J110" s="2">
        <v>0.62934556090041716</v>
      </c>
      <c r="K110" s="2">
        <v>9.1635714171023217</v>
      </c>
      <c r="L110" s="2">
        <v>0</v>
      </c>
      <c r="M110" s="2">
        <v>444946.88</v>
      </c>
      <c r="N110" s="2">
        <v>3104.25</v>
      </c>
      <c r="O110" s="6">
        <v>45199.360000000001</v>
      </c>
      <c r="P110" s="185"/>
      <c r="Q110" s="23">
        <v>45</v>
      </c>
      <c r="R110" s="23">
        <v>22.5</v>
      </c>
      <c r="S110" s="23">
        <v>22.5</v>
      </c>
      <c r="T110" s="23" t="s">
        <v>90</v>
      </c>
      <c r="U110" s="23" t="s">
        <v>90</v>
      </c>
      <c r="W110" s="98"/>
      <c r="X110" s="99"/>
      <c r="Y110" s="99"/>
      <c r="Z110" s="99"/>
      <c r="AA110" s="99"/>
      <c r="AB110" s="99"/>
      <c r="AC110" s="99"/>
      <c r="AD110" s="99"/>
      <c r="AE110" s="99"/>
      <c r="AF110" s="99"/>
      <c r="AG110" s="99"/>
      <c r="AH110" s="99"/>
      <c r="AI110" s="99"/>
      <c r="AJ110" s="101" t="s">
        <v>64</v>
      </c>
      <c r="AK110" s="40">
        <v>1.7472351576625629</v>
      </c>
      <c r="AL110" s="23">
        <v>0</v>
      </c>
      <c r="AM110" s="23">
        <v>30.800637495376083</v>
      </c>
      <c r="AN110" s="23">
        <v>35.850990641540228</v>
      </c>
      <c r="AO110" s="23">
        <v>31.60113670542113</v>
      </c>
      <c r="AP110" s="23">
        <v>54.238547381740112</v>
      </c>
      <c r="AQ110" s="23">
        <v>0</v>
      </c>
      <c r="AR110" s="23">
        <v>956.12878945021203</v>
      </c>
      <c r="AS110" s="23">
        <v>1112.9043769900125</v>
      </c>
      <c r="AT110" s="23">
        <v>980.97828617803555</v>
      </c>
      <c r="AU110" s="23" t="s">
        <v>76</v>
      </c>
      <c r="AW110" s="40">
        <v>1522</v>
      </c>
      <c r="AX110" s="39" t="s">
        <v>76</v>
      </c>
      <c r="AY110" s="103"/>
      <c r="AZ110" s="22"/>
      <c r="BA110" s="22"/>
      <c r="BB110" s="22"/>
      <c r="BC110" s="22"/>
      <c r="BD110" s="22"/>
      <c r="BE110" s="22" t="s">
        <v>64</v>
      </c>
      <c r="BF110" s="110" t="s">
        <v>76</v>
      </c>
      <c r="BG110" s="40" t="s">
        <v>63</v>
      </c>
      <c r="BI110" s="103" t="s">
        <v>77</v>
      </c>
      <c r="BJ110" s="110"/>
      <c r="BS110" s="39" t="s">
        <v>77</v>
      </c>
      <c r="BT110" s="40" t="s">
        <v>89</v>
      </c>
      <c r="BU110" s="23">
        <v>3563.72</v>
      </c>
      <c r="BV110" s="23" t="s">
        <v>76</v>
      </c>
      <c r="BW110" s="23">
        <v>3563.72</v>
      </c>
      <c r="BX110" s="23" t="s">
        <v>76</v>
      </c>
      <c r="BY110" s="23">
        <v>2.8060565925493588</v>
      </c>
      <c r="BZ110" s="39" t="s">
        <v>76</v>
      </c>
    </row>
    <row r="111" spans="1:78" x14ac:dyDescent="0.25">
      <c r="A111">
        <v>1753</v>
      </c>
      <c r="B111" t="s">
        <v>58</v>
      </c>
      <c r="C111" t="s">
        <v>15</v>
      </c>
      <c r="D111" t="s">
        <v>212</v>
      </c>
      <c r="E111" s="40">
        <v>180000</v>
      </c>
      <c r="F111" s="39">
        <v>133000</v>
      </c>
      <c r="G111">
        <f t="shared" si="1"/>
        <v>133000</v>
      </c>
      <c r="H111" s="5">
        <v>3</v>
      </c>
      <c r="I111" s="2">
        <v>97</v>
      </c>
      <c r="J111" s="2">
        <v>0</v>
      </c>
      <c r="K111" s="2">
        <v>0</v>
      </c>
      <c r="L111" s="2">
        <v>3990</v>
      </c>
      <c r="M111" s="2">
        <v>129010</v>
      </c>
      <c r="N111" s="2">
        <v>0</v>
      </c>
      <c r="O111" s="6">
        <v>0</v>
      </c>
      <c r="P111" s="185"/>
      <c r="Q111" s="23">
        <v>43.75</v>
      </c>
      <c r="T111" s="23" t="s">
        <v>89</v>
      </c>
      <c r="U111" s="23" t="s">
        <v>89</v>
      </c>
      <c r="W111" s="40">
        <v>5</v>
      </c>
      <c r="X111" s="23">
        <v>4</v>
      </c>
      <c r="Y111" s="23">
        <v>50</v>
      </c>
      <c r="Z111" s="23">
        <v>1</v>
      </c>
      <c r="AA111" s="23">
        <v>30</v>
      </c>
      <c r="AB111" s="23">
        <v>10</v>
      </c>
      <c r="AC111" s="23">
        <v>199.5</v>
      </c>
      <c r="AD111" s="23">
        <v>159.6</v>
      </c>
      <c r="AE111" s="23">
        <v>1995</v>
      </c>
      <c r="AF111" s="23">
        <v>39.9</v>
      </c>
      <c r="AG111" s="23">
        <v>1197</v>
      </c>
      <c r="AH111" s="23">
        <v>399</v>
      </c>
      <c r="AJ111" s="101" t="s">
        <v>64</v>
      </c>
      <c r="AK111" s="98"/>
      <c r="AL111" s="99"/>
      <c r="AM111" s="99"/>
      <c r="AN111" s="99"/>
      <c r="AO111" s="99"/>
      <c r="AP111" s="99"/>
      <c r="AQ111" s="99"/>
      <c r="AR111" s="99"/>
      <c r="AS111" s="99"/>
      <c r="AT111" s="99"/>
      <c r="AU111" s="99" t="s">
        <v>77</v>
      </c>
      <c r="AW111" s="40">
        <v>0</v>
      </c>
      <c r="AX111" s="39" t="s">
        <v>118</v>
      </c>
      <c r="AY111" s="103"/>
      <c r="AZ111" s="22"/>
      <c r="BA111" s="22"/>
      <c r="BB111" s="22"/>
      <c r="BC111" s="22"/>
      <c r="BD111" s="22"/>
      <c r="BE111" s="22"/>
      <c r="BF111" s="110" t="s">
        <v>77</v>
      </c>
      <c r="BG111" s="40" t="s">
        <v>63</v>
      </c>
      <c r="BI111" s="103" t="s">
        <v>77</v>
      </c>
      <c r="BJ111" s="110"/>
      <c r="BS111" s="39" t="s">
        <v>77</v>
      </c>
      <c r="BT111" s="40" t="s">
        <v>90</v>
      </c>
      <c r="BV111" s="23" t="s">
        <v>76</v>
      </c>
      <c r="BX111" s="23" t="s">
        <v>77</v>
      </c>
      <c r="BZ111" s="39" t="s">
        <v>77</v>
      </c>
    </row>
    <row r="112" spans="1:78" x14ac:dyDescent="0.25">
      <c r="A112">
        <v>1767</v>
      </c>
      <c r="B112" t="s">
        <v>58</v>
      </c>
      <c r="C112" t="s">
        <v>17</v>
      </c>
      <c r="D112" t="s">
        <v>212</v>
      </c>
      <c r="E112" s="40">
        <v>48571</v>
      </c>
      <c r="F112" s="39">
        <v>65785</v>
      </c>
      <c r="G112">
        <f t="shared" si="1"/>
        <v>65785</v>
      </c>
      <c r="H112" s="5">
        <v>10.336702895796915</v>
      </c>
      <c r="I112" s="2">
        <v>89.663297104203082</v>
      </c>
      <c r="J112" s="2">
        <v>0</v>
      </c>
      <c r="K112" s="2">
        <v>0</v>
      </c>
      <c r="L112" s="2">
        <v>6800</v>
      </c>
      <c r="M112" s="2">
        <v>58985</v>
      </c>
      <c r="N112" s="2">
        <v>0</v>
      </c>
      <c r="O112" s="6">
        <v>0</v>
      </c>
      <c r="P112" s="185"/>
      <c r="Q112" s="23">
        <v>38.5</v>
      </c>
      <c r="T112" s="23" t="s">
        <v>89</v>
      </c>
      <c r="U112" s="23" t="s">
        <v>89</v>
      </c>
      <c r="W112" s="40">
        <v>0</v>
      </c>
      <c r="X112" s="23">
        <v>0</v>
      </c>
      <c r="Y112" s="23">
        <v>9.8790085751204035</v>
      </c>
      <c r="Z112" s="23">
        <v>0</v>
      </c>
      <c r="AA112" s="23">
        <v>69.575942675907427</v>
      </c>
      <c r="AB112" s="23">
        <v>20.54504874897216</v>
      </c>
      <c r="AC112" s="23">
        <v>0</v>
      </c>
      <c r="AD112" s="23">
        <v>0</v>
      </c>
      <c r="AE112" s="23">
        <v>671.7725831081874</v>
      </c>
      <c r="AF112" s="23">
        <v>0</v>
      </c>
      <c r="AG112" s="23">
        <v>4731.1641019617055</v>
      </c>
      <c r="AH112" s="23">
        <v>1397.0633149301068</v>
      </c>
      <c r="AJ112" s="101" t="s">
        <v>63</v>
      </c>
      <c r="AK112" s="98"/>
      <c r="AL112" s="99"/>
      <c r="AM112" s="99"/>
      <c r="AN112" s="99"/>
      <c r="AO112" s="99"/>
      <c r="AP112" s="99"/>
      <c r="AQ112" s="99"/>
      <c r="AR112" s="99"/>
      <c r="AS112" s="99"/>
      <c r="AT112" s="99"/>
      <c r="AU112" s="99" t="s">
        <v>77</v>
      </c>
      <c r="AX112" s="39" t="s">
        <v>77</v>
      </c>
      <c r="AY112" s="103"/>
      <c r="AZ112" s="22"/>
      <c r="BA112" s="22"/>
      <c r="BB112" s="22"/>
      <c r="BC112" s="22"/>
      <c r="BD112" s="22"/>
      <c r="BE112" s="22"/>
      <c r="BF112" s="110" t="s">
        <v>77</v>
      </c>
      <c r="BG112" s="40" t="s">
        <v>77</v>
      </c>
      <c r="BI112" s="103" t="s">
        <v>77</v>
      </c>
      <c r="BJ112" s="110"/>
      <c r="BS112" s="39" t="s">
        <v>77</v>
      </c>
      <c r="BT112" s="40" t="s">
        <v>90</v>
      </c>
      <c r="BV112" s="23" t="s">
        <v>76</v>
      </c>
      <c r="BX112" s="23" t="s">
        <v>77</v>
      </c>
      <c r="BZ112" s="39" t="s">
        <v>77</v>
      </c>
    </row>
    <row r="113" spans="1:78" x14ac:dyDescent="0.25">
      <c r="A113">
        <v>1778</v>
      </c>
      <c r="B113" t="s">
        <v>58</v>
      </c>
      <c r="C113" t="s">
        <v>15</v>
      </c>
      <c r="D113" t="s">
        <v>212</v>
      </c>
      <c r="E113" s="40">
        <v>2390000</v>
      </c>
      <c r="F113" s="39">
        <v>808779</v>
      </c>
      <c r="G113">
        <f t="shared" si="1"/>
        <v>808779</v>
      </c>
      <c r="H113" s="5">
        <v>0.37834810251008</v>
      </c>
      <c r="I113" s="2">
        <v>96.174480296842518</v>
      </c>
      <c r="J113" s="2">
        <v>2.5360450753543304</v>
      </c>
      <c r="K113" s="2">
        <v>0.91112652529306526</v>
      </c>
      <c r="L113" s="2">
        <v>3060</v>
      </c>
      <c r="M113" s="2">
        <v>777839</v>
      </c>
      <c r="N113" s="2">
        <v>20511</v>
      </c>
      <c r="O113" s="6">
        <v>7369</v>
      </c>
      <c r="P113" s="185"/>
      <c r="Q113" s="23">
        <v>36.840000000000003</v>
      </c>
      <c r="T113" s="23" t="s">
        <v>89</v>
      </c>
      <c r="U113" s="23" t="s">
        <v>89</v>
      </c>
      <c r="W113" s="40">
        <v>0.37907078336597949</v>
      </c>
      <c r="X113" s="23">
        <v>0</v>
      </c>
      <c r="Y113" s="23">
        <v>0</v>
      </c>
      <c r="Z113" s="23">
        <v>13.766610768992294</v>
      </c>
      <c r="AA113" s="23">
        <v>85.854318447641731</v>
      </c>
      <c r="AB113" s="23">
        <v>0</v>
      </c>
      <c r="AC113" s="23">
        <v>11.599565970998972</v>
      </c>
      <c r="AD113" s="23">
        <v>0</v>
      </c>
      <c r="AE113" s="23">
        <v>0</v>
      </c>
      <c r="AF113" s="23">
        <v>421.25828953116422</v>
      </c>
      <c r="AG113" s="23">
        <v>2627.1421444978369</v>
      </c>
      <c r="AH113" s="23">
        <v>0</v>
      </c>
      <c r="AJ113" s="101" t="s">
        <v>134</v>
      </c>
      <c r="AK113" s="98"/>
      <c r="AL113" s="99"/>
      <c r="AM113" s="99"/>
      <c r="AN113" s="99"/>
      <c r="AO113" s="99"/>
      <c r="AP113" s="99"/>
      <c r="AQ113" s="99"/>
      <c r="AR113" s="99"/>
      <c r="AS113" s="99"/>
      <c r="AT113" s="99"/>
      <c r="AU113" s="99" t="s">
        <v>77</v>
      </c>
      <c r="AX113" s="39" t="s">
        <v>77</v>
      </c>
      <c r="AY113" s="103"/>
      <c r="AZ113" s="22"/>
      <c r="BA113" s="22"/>
      <c r="BB113" s="22"/>
      <c r="BC113" s="22"/>
      <c r="BD113" s="22"/>
      <c r="BE113" s="22"/>
      <c r="BF113" s="110" t="s">
        <v>77</v>
      </c>
      <c r="BG113" s="40" t="s">
        <v>77</v>
      </c>
      <c r="BI113" s="103" t="s">
        <v>77</v>
      </c>
      <c r="BJ113" s="110"/>
      <c r="BS113" s="39" t="s">
        <v>77</v>
      </c>
      <c r="BT113" s="40" t="s">
        <v>90</v>
      </c>
      <c r="BV113" s="23" t="s">
        <v>76</v>
      </c>
      <c r="BX113" s="23" t="s">
        <v>77</v>
      </c>
      <c r="BZ113" s="39" t="s">
        <v>77</v>
      </c>
    </row>
    <row r="114" spans="1:78" x14ac:dyDescent="0.25">
      <c r="A114">
        <v>1782</v>
      </c>
      <c r="B114" t="s">
        <v>58</v>
      </c>
      <c r="C114" t="s">
        <v>15</v>
      </c>
      <c r="D114" t="s">
        <v>212</v>
      </c>
      <c r="E114" s="40">
        <v>10000</v>
      </c>
      <c r="F114" s="39">
        <v>14655</v>
      </c>
      <c r="G114">
        <f t="shared" si="1"/>
        <v>14655</v>
      </c>
      <c r="H114" s="5">
        <v>1</v>
      </c>
      <c r="I114" s="2">
        <v>94</v>
      </c>
      <c r="J114" s="2">
        <v>5</v>
      </c>
      <c r="K114" s="2">
        <v>0</v>
      </c>
      <c r="L114" s="2">
        <v>146.55000000000001</v>
      </c>
      <c r="M114" s="2">
        <v>13775.7</v>
      </c>
      <c r="N114" s="2">
        <v>732.75</v>
      </c>
      <c r="O114" s="6">
        <v>0</v>
      </c>
      <c r="P114" s="185"/>
      <c r="Q114" s="23">
        <v>15</v>
      </c>
      <c r="R114" s="23">
        <v>15</v>
      </c>
      <c r="S114" s="23">
        <v>15</v>
      </c>
      <c r="T114" s="23" t="s">
        <v>89</v>
      </c>
      <c r="U114" s="23" t="s">
        <v>90</v>
      </c>
      <c r="V114" s="39" t="s">
        <v>104</v>
      </c>
      <c r="W114" s="40">
        <v>10</v>
      </c>
      <c r="X114" s="23">
        <v>1</v>
      </c>
      <c r="Y114" s="23">
        <v>1</v>
      </c>
      <c r="Z114" s="23">
        <v>0</v>
      </c>
      <c r="AA114" s="23">
        <v>88</v>
      </c>
      <c r="AB114" s="23">
        <v>0</v>
      </c>
      <c r="AC114" s="23">
        <v>14.655000000000001</v>
      </c>
      <c r="AD114" s="23">
        <v>1.4655000000000002</v>
      </c>
      <c r="AE114" s="23">
        <v>1.4655000000000002</v>
      </c>
      <c r="AF114" s="23">
        <v>0</v>
      </c>
      <c r="AG114" s="23">
        <v>128.96400000000003</v>
      </c>
      <c r="AH114" s="23">
        <v>0</v>
      </c>
      <c r="AJ114" s="101" t="s">
        <v>64</v>
      </c>
      <c r="AK114" s="40">
        <v>10</v>
      </c>
      <c r="AL114" s="23">
        <v>1</v>
      </c>
      <c r="AM114" s="23">
        <v>1</v>
      </c>
      <c r="AN114" s="23">
        <v>88</v>
      </c>
      <c r="AO114" s="23">
        <v>0</v>
      </c>
      <c r="AP114" s="23">
        <v>73.275000000000006</v>
      </c>
      <c r="AQ114" s="23">
        <v>7.3275000000000006</v>
      </c>
      <c r="AR114" s="23">
        <v>7.3275000000000006</v>
      </c>
      <c r="AS114" s="23">
        <v>644.82000000000005</v>
      </c>
      <c r="AT114" s="23">
        <v>0</v>
      </c>
      <c r="AU114" s="23" t="s">
        <v>76</v>
      </c>
      <c r="AW114" s="40">
        <v>640.34</v>
      </c>
      <c r="AX114" s="39" t="s">
        <v>76</v>
      </c>
      <c r="AY114" s="103"/>
      <c r="AZ114" s="22"/>
      <c r="BA114" s="22"/>
      <c r="BB114" s="22"/>
      <c r="BC114" s="22"/>
      <c r="BD114" s="22"/>
      <c r="BE114" s="22"/>
      <c r="BF114" s="110" t="s">
        <v>77</v>
      </c>
      <c r="BG114" s="40" t="s">
        <v>63</v>
      </c>
      <c r="BI114" s="103" t="s">
        <v>77</v>
      </c>
      <c r="BJ114" s="110"/>
      <c r="BS114" s="39" t="s">
        <v>77</v>
      </c>
      <c r="BT114" s="40" t="s">
        <v>90</v>
      </c>
      <c r="BV114" s="23" t="s">
        <v>76</v>
      </c>
      <c r="BX114" s="23" t="s">
        <v>77</v>
      </c>
      <c r="BZ114" s="39" t="s">
        <v>77</v>
      </c>
    </row>
    <row r="115" spans="1:78" x14ac:dyDescent="0.25">
      <c r="A115">
        <v>1784</v>
      </c>
      <c r="B115" t="s">
        <v>58</v>
      </c>
      <c r="C115" t="s">
        <v>15</v>
      </c>
      <c r="D115" t="s">
        <v>212</v>
      </c>
      <c r="E115" s="40">
        <v>3734</v>
      </c>
      <c r="F115" s="39">
        <v>3897</v>
      </c>
      <c r="G115">
        <f t="shared" si="1"/>
        <v>3897</v>
      </c>
      <c r="H115" s="5">
        <v>6.2235052604567613</v>
      </c>
      <c r="I115" s="2">
        <v>80.43135745445214</v>
      </c>
      <c r="J115" s="2">
        <v>0</v>
      </c>
      <c r="K115" s="2">
        <f>(O115/G115)*100</f>
        <v>13.345137285091093</v>
      </c>
      <c r="L115" s="2">
        <v>242.53</v>
      </c>
      <c r="M115" s="2">
        <v>3134.41</v>
      </c>
      <c r="N115" s="2">
        <v>0</v>
      </c>
      <c r="O115" s="6">
        <v>520.05999999999995</v>
      </c>
      <c r="P115" s="185"/>
      <c r="Q115" s="23">
        <v>45</v>
      </c>
      <c r="T115" s="23" t="s">
        <v>89</v>
      </c>
      <c r="U115" s="23" t="s">
        <v>89</v>
      </c>
      <c r="W115" s="40">
        <v>0</v>
      </c>
      <c r="X115" s="23">
        <v>0</v>
      </c>
      <c r="Y115" s="23">
        <v>26.284145409049835</v>
      </c>
      <c r="Z115" s="23">
        <v>0</v>
      </c>
      <c r="AA115" s="23">
        <v>57.704872454299014</v>
      </c>
      <c r="AB115" s="23">
        <v>16.01098213665114</v>
      </c>
      <c r="AC115" s="23">
        <v>0</v>
      </c>
      <c r="AD115" s="23">
        <v>0</v>
      </c>
      <c r="AE115" s="23">
        <v>63.746937860568558</v>
      </c>
      <c r="AF115" s="23">
        <v>0</v>
      </c>
      <c r="AG115" s="23">
        <v>139.95162716341139</v>
      </c>
      <c r="AH115" s="23">
        <v>38.831434976020013</v>
      </c>
      <c r="AJ115" s="101" t="s">
        <v>63</v>
      </c>
      <c r="AK115" s="98"/>
      <c r="AL115" s="99"/>
      <c r="AM115" s="99"/>
      <c r="AN115" s="99"/>
      <c r="AO115" s="99"/>
      <c r="AP115" s="99"/>
      <c r="AQ115" s="99"/>
      <c r="AR115" s="99"/>
      <c r="AS115" s="99"/>
      <c r="AT115" s="99"/>
      <c r="AU115" s="99" t="s">
        <v>77</v>
      </c>
      <c r="AX115" s="39" t="s">
        <v>77</v>
      </c>
      <c r="AY115" s="103"/>
      <c r="AZ115" s="22"/>
      <c r="BA115" s="22"/>
      <c r="BB115" s="22"/>
      <c r="BC115" s="22"/>
      <c r="BD115" s="22"/>
      <c r="BE115" s="22"/>
      <c r="BF115" s="110" t="s">
        <v>77</v>
      </c>
      <c r="BG115" s="40" t="s">
        <v>77</v>
      </c>
      <c r="BI115" s="103" t="s">
        <v>77</v>
      </c>
      <c r="BJ115" s="110"/>
      <c r="BS115" s="39" t="s">
        <v>77</v>
      </c>
      <c r="BT115" s="40" t="s">
        <v>90</v>
      </c>
      <c r="BV115" s="23" t="s">
        <v>76</v>
      </c>
      <c r="BX115" s="23" t="s">
        <v>77</v>
      </c>
      <c r="BZ115" s="39" t="s">
        <v>77</v>
      </c>
    </row>
    <row r="116" spans="1:78" x14ac:dyDescent="0.25">
      <c r="A116">
        <v>1797</v>
      </c>
      <c r="B116" t="s">
        <v>58</v>
      </c>
      <c r="C116" t="s">
        <v>15</v>
      </c>
      <c r="D116" t="s">
        <v>212</v>
      </c>
      <c r="E116" s="40">
        <v>180191</v>
      </c>
      <c r="F116" s="39">
        <v>4157</v>
      </c>
      <c r="G116">
        <f t="shared" si="1"/>
        <v>4157</v>
      </c>
      <c r="H116" s="5">
        <v>20</v>
      </c>
      <c r="I116" s="2">
        <v>80</v>
      </c>
      <c r="J116" s="2">
        <v>0</v>
      </c>
      <c r="K116" s="2">
        <v>0</v>
      </c>
      <c r="L116" s="2">
        <v>831.4</v>
      </c>
      <c r="M116" s="2">
        <v>3325.6</v>
      </c>
      <c r="N116" s="2">
        <v>0</v>
      </c>
      <c r="O116" s="6">
        <v>0</v>
      </c>
      <c r="P116" s="185"/>
      <c r="Q116" s="23">
        <v>198</v>
      </c>
      <c r="S116" s="22"/>
      <c r="T116" s="23" t="s">
        <v>89</v>
      </c>
      <c r="U116" s="23" t="s">
        <v>77</v>
      </c>
      <c r="W116" s="98"/>
      <c r="X116" s="99"/>
      <c r="Y116" s="99"/>
      <c r="Z116" s="99"/>
      <c r="AA116" s="99"/>
      <c r="AB116" s="99"/>
      <c r="AC116" s="99"/>
      <c r="AD116" s="99"/>
      <c r="AE116" s="99"/>
      <c r="AF116" s="99"/>
      <c r="AG116" s="99"/>
      <c r="AH116" s="99"/>
      <c r="AI116" s="99"/>
      <c r="AJ116" s="101" t="s">
        <v>63</v>
      </c>
      <c r="AK116" s="98"/>
      <c r="AL116" s="99"/>
      <c r="AM116" s="99"/>
      <c r="AN116" s="99"/>
      <c r="AO116" s="99"/>
      <c r="AP116" s="99"/>
      <c r="AQ116" s="99"/>
      <c r="AR116" s="99"/>
      <c r="AS116" s="99"/>
      <c r="AT116" s="99"/>
      <c r="AU116" s="99" t="s">
        <v>77</v>
      </c>
      <c r="AX116" s="39" t="s">
        <v>77</v>
      </c>
      <c r="AY116" s="103"/>
      <c r="AZ116" s="22"/>
      <c r="BA116" s="22"/>
      <c r="BB116" s="22"/>
      <c r="BC116" s="22"/>
      <c r="BD116" s="22"/>
      <c r="BE116" s="22"/>
      <c r="BF116" s="110" t="s">
        <v>77</v>
      </c>
      <c r="BG116" s="40" t="s">
        <v>77</v>
      </c>
      <c r="BI116" s="103" t="s">
        <v>77</v>
      </c>
      <c r="BJ116" s="110"/>
      <c r="BS116" s="39" t="s">
        <v>77</v>
      </c>
      <c r="BT116" s="40" t="s">
        <v>90</v>
      </c>
      <c r="BV116" s="23" t="s">
        <v>76</v>
      </c>
      <c r="BX116" s="23" t="s">
        <v>77</v>
      </c>
      <c r="BZ116" s="39" t="s">
        <v>77</v>
      </c>
    </row>
    <row r="117" spans="1:78" x14ac:dyDescent="0.25">
      <c r="A117">
        <v>1798</v>
      </c>
      <c r="B117" t="s">
        <v>58</v>
      </c>
      <c r="C117" t="s">
        <v>15</v>
      </c>
      <c r="D117" t="s">
        <v>212</v>
      </c>
      <c r="E117" s="40">
        <v>1000</v>
      </c>
      <c r="F117" s="39">
        <v>1043</v>
      </c>
      <c r="G117">
        <f t="shared" si="1"/>
        <v>1043</v>
      </c>
      <c r="H117" s="5">
        <v>10</v>
      </c>
      <c r="I117" s="2">
        <v>90</v>
      </c>
      <c r="J117" s="2">
        <v>0</v>
      </c>
      <c r="K117" s="2">
        <v>0</v>
      </c>
      <c r="L117" s="2">
        <v>104.3</v>
      </c>
      <c r="M117" s="2">
        <v>938.7</v>
      </c>
      <c r="N117" s="2">
        <v>0</v>
      </c>
      <c r="O117" s="6">
        <v>0</v>
      </c>
      <c r="P117" s="185"/>
      <c r="Q117" s="23">
        <v>15</v>
      </c>
      <c r="S117" s="22"/>
      <c r="T117" s="23" t="s">
        <v>89</v>
      </c>
      <c r="U117" s="23" t="s">
        <v>89</v>
      </c>
      <c r="W117" s="40">
        <v>3</v>
      </c>
      <c r="X117" s="23">
        <v>2</v>
      </c>
      <c r="Y117" s="23">
        <v>20</v>
      </c>
      <c r="Z117" s="23">
        <v>0</v>
      </c>
      <c r="AA117" s="23">
        <v>75</v>
      </c>
      <c r="AB117" s="23">
        <v>0</v>
      </c>
      <c r="AC117" s="23">
        <v>3.129</v>
      </c>
      <c r="AD117" s="23">
        <v>2.0859999999999999</v>
      </c>
      <c r="AE117" s="23">
        <v>20.86</v>
      </c>
      <c r="AF117" s="23">
        <v>0</v>
      </c>
      <c r="AG117" s="23">
        <v>78.225000000000009</v>
      </c>
      <c r="AH117" s="23">
        <v>0</v>
      </c>
      <c r="AJ117" s="101" t="s">
        <v>63</v>
      </c>
      <c r="AK117" s="98"/>
      <c r="AL117" s="99"/>
      <c r="AM117" s="99"/>
      <c r="AN117" s="99"/>
      <c r="AO117" s="99"/>
      <c r="AP117" s="99"/>
      <c r="AQ117" s="99"/>
      <c r="AR117" s="99"/>
      <c r="AS117" s="99"/>
      <c r="AT117" s="99"/>
      <c r="AU117" s="99" t="s">
        <v>77</v>
      </c>
      <c r="AX117" s="39" t="s">
        <v>77</v>
      </c>
      <c r="AY117" s="103"/>
      <c r="AZ117" s="22"/>
      <c r="BA117" s="22"/>
      <c r="BB117" s="22"/>
      <c r="BC117" s="22"/>
      <c r="BD117" s="22"/>
      <c r="BE117" s="22"/>
      <c r="BF117" s="110" t="s">
        <v>77</v>
      </c>
      <c r="BG117" s="40" t="s">
        <v>77</v>
      </c>
      <c r="BI117" s="103" t="s">
        <v>77</v>
      </c>
      <c r="BJ117" s="110"/>
      <c r="BS117" s="39" t="s">
        <v>77</v>
      </c>
      <c r="BT117" s="40" t="s">
        <v>90</v>
      </c>
      <c r="BV117" s="23" t="s">
        <v>76</v>
      </c>
      <c r="BX117" s="23" t="s">
        <v>77</v>
      </c>
      <c r="BZ117" s="39" t="s">
        <v>77</v>
      </c>
    </row>
    <row r="118" spans="1:78" x14ac:dyDescent="0.25">
      <c r="A118">
        <v>1801</v>
      </c>
      <c r="B118" t="s">
        <v>58</v>
      </c>
      <c r="C118" t="s">
        <v>15</v>
      </c>
      <c r="D118" t="s">
        <v>212</v>
      </c>
      <c r="E118" s="40">
        <v>2390000</v>
      </c>
      <c r="F118" s="39">
        <v>533078</v>
      </c>
      <c r="G118">
        <f t="shared" si="1"/>
        <v>533078</v>
      </c>
      <c r="H118" s="5">
        <v>0.90343421306865612</v>
      </c>
      <c r="I118" s="2">
        <v>95.730823126865346</v>
      </c>
      <c r="J118" s="2">
        <v>1.7252667063107205</v>
      </c>
      <c r="K118" s="2">
        <v>1.6406635439157946</v>
      </c>
      <c r="L118" s="2">
        <v>4816</v>
      </c>
      <c r="M118" s="2">
        <v>510319</v>
      </c>
      <c r="N118" s="2">
        <v>9197</v>
      </c>
      <c r="O118" s="6">
        <v>8746</v>
      </c>
      <c r="P118" s="185"/>
      <c r="Q118" s="23">
        <v>36.840000000000003</v>
      </c>
      <c r="S118" s="22"/>
      <c r="T118" s="23" t="s">
        <v>89</v>
      </c>
      <c r="U118" s="23" t="s">
        <v>89</v>
      </c>
      <c r="W118" s="40">
        <v>0.27478100877571804</v>
      </c>
      <c r="X118" s="23">
        <v>0</v>
      </c>
      <c r="Y118" s="23">
        <v>0.11168000064276258</v>
      </c>
      <c r="Z118" s="23">
        <v>3.2650331123167375</v>
      </c>
      <c r="AA118" s="23">
        <v>96.348505878264774</v>
      </c>
      <c r="AB118" s="23">
        <v>0</v>
      </c>
      <c r="AC118" s="23">
        <v>13.233453382638581</v>
      </c>
      <c r="AD118" s="23">
        <v>0</v>
      </c>
      <c r="AE118" s="23">
        <v>5.3785088309554467</v>
      </c>
      <c r="AF118" s="23">
        <v>157.24399468917409</v>
      </c>
      <c r="AG118" s="23">
        <v>4640.1440430972316</v>
      </c>
      <c r="AH118" s="23">
        <v>0</v>
      </c>
      <c r="AJ118" s="101" t="s">
        <v>134</v>
      </c>
      <c r="AK118" s="98"/>
      <c r="AL118" s="99"/>
      <c r="AM118" s="99"/>
      <c r="AN118" s="99"/>
      <c r="AO118" s="99"/>
      <c r="AP118" s="99"/>
      <c r="AQ118" s="99"/>
      <c r="AR118" s="99"/>
      <c r="AS118" s="99"/>
      <c r="AT118" s="99"/>
      <c r="AU118" s="99" t="s">
        <v>77</v>
      </c>
      <c r="AX118" s="39" t="s">
        <v>77</v>
      </c>
      <c r="AY118" s="103"/>
      <c r="AZ118" s="22"/>
      <c r="BA118" s="22"/>
      <c r="BB118" s="22"/>
      <c r="BC118" s="22"/>
      <c r="BD118" s="22"/>
      <c r="BE118" s="22"/>
      <c r="BF118" s="110" t="s">
        <v>77</v>
      </c>
      <c r="BG118" s="40" t="s">
        <v>77</v>
      </c>
      <c r="BI118" s="103" t="s">
        <v>77</v>
      </c>
      <c r="BJ118" s="110"/>
      <c r="BS118" s="39" t="s">
        <v>77</v>
      </c>
      <c r="BT118" s="40" t="s">
        <v>90</v>
      </c>
      <c r="BV118" s="23" t="s">
        <v>76</v>
      </c>
      <c r="BX118" s="23" t="s">
        <v>77</v>
      </c>
      <c r="BZ118" s="39" t="s">
        <v>77</v>
      </c>
    </row>
    <row r="119" spans="1:78" x14ac:dyDescent="0.25">
      <c r="A119">
        <v>1803</v>
      </c>
      <c r="B119" t="s">
        <v>58</v>
      </c>
      <c r="C119" t="s">
        <v>15</v>
      </c>
      <c r="D119" t="s">
        <v>212</v>
      </c>
      <c r="E119" s="40">
        <v>3000</v>
      </c>
      <c r="F119" s="39">
        <v>4349</v>
      </c>
      <c r="G119">
        <f t="shared" si="1"/>
        <v>4349</v>
      </c>
      <c r="H119" s="5">
        <v>20</v>
      </c>
      <c r="I119" s="2">
        <v>80</v>
      </c>
      <c r="J119" s="2">
        <v>0</v>
      </c>
      <c r="K119" s="2">
        <v>0</v>
      </c>
      <c r="L119" s="2">
        <v>869.80000000000007</v>
      </c>
      <c r="M119" s="2">
        <v>3479.2000000000003</v>
      </c>
      <c r="N119" s="2">
        <v>0</v>
      </c>
      <c r="O119" s="6">
        <v>0</v>
      </c>
      <c r="P119" s="185"/>
      <c r="Q119" s="23">
        <v>15</v>
      </c>
      <c r="S119" s="22"/>
      <c r="T119" s="23" t="s">
        <v>89</v>
      </c>
      <c r="U119" s="23" t="s">
        <v>89</v>
      </c>
      <c r="W119" s="40">
        <v>5</v>
      </c>
      <c r="X119" s="23">
        <v>3</v>
      </c>
      <c r="Y119" s="23">
        <v>42</v>
      </c>
      <c r="Z119" s="23">
        <v>0</v>
      </c>
      <c r="AA119" s="23">
        <v>50</v>
      </c>
      <c r="AB119" s="23">
        <v>0</v>
      </c>
      <c r="AC119" s="23">
        <v>43.49</v>
      </c>
      <c r="AD119" s="23">
        <v>26.094000000000001</v>
      </c>
      <c r="AE119" s="23">
        <v>365.31600000000009</v>
      </c>
      <c r="AF119" s="23">
        <v>0</v>
      </c>
      <c r="AG119" s="23">
        <v>434.90000000000003</v>
      </c>
      <c r="AH119" s="23">
        <v>0</v>
      </c>
      <c r="AJ119" s="101" t="s">
        <v>63</v>
      </c>
      <c r="AK119" s="98"/>
      <c r="AL119" s="99"/>
      <c r="AM119" s="99"/>
      <c r="AN119" s="99"/>
      <c r="AO119" s="99"/>
      <c r="AP119" s="99"/>
      <c r="AQ119" s="99"/>
      <c r="AR119" s="99"/>
      <c r="AS119" s="99"/>
      <c r="AT119" s="99"/>
      <c r="AU119" s="99" t="s">
        <v>77</v>
      </c>
      <c r="AV119" s="39" t="s">
        <v>64</v>
      </c>
      <c r="AX119" s="39" t="s">
        <v>77</v>
      </c>
      <c r="AY119" s="103"/>
      <c r="AZ119" s="22"/>
      <c r="BA119" s="22"/>
      <c r="BB119" s="22"/>
      <c r="BC119" s="22"/>
      <c r="BD119" s="22"/>
      <c r="BE119" s="22"/>
      <c r="BF119" s="110" t="s">
        <v>77</v>
      </c>
      <c r="BG119" s="40" t="s">
        <v>77</v>
      </c>
      <c r="BI119" s="103" t="s">
        <v>77</v>
      </c>
      <c r="BJ119" s="110"/>
      <c r="BS119" s="39" t="s">
        <v>77</v>
      </c>
      <c r="BT119" s="40" t="s">
        <v>90</v>
      </c>
      <c r="BV119" s="23" t="s">
        <v>76</v>
      </c>
      <c r="BX119" s="23" t="s">
        <v>77</v>
      </c>
      <c r="BZ119" s="39" t="s">
        <v>77</v>
      </c>
    </row>
    <row r="120" spans="1:78" x14ac:dyDescent="0.25">
      <c r="A120">
        <v>1805</v>
      </c>
      <c r="B120" t="s">
        <v>59</v>
      </c>
      <c r="C120" t="s">
        <v>15</v>
      </c>
      <c r="D120" t="s">
        <v>212</v>
      </c>
      <c r="E120" s="40">
        <v>18000</v>
      </c>
      <c r="F120" s="39">
        <v>17762</v>
      </c>
      <c r="G120">
        <f t="shared" si="1"/>
        <v>17762</v>
      </c>
      <c r="H120" s="5">
        <v>10.308117819840909</v>
      </c>
      <c r="I120" s="2">
        <v>52.364373737298429</v>
      </c>
      <c r="J120" s="2">
        <v>9.5499377502106046</v>
      </c>
      <c r="K120" s="2">
        <v>27.777570692650048</v>
      </c>
      <c r="L120" s="2">
        <v>1830.9278871601425</v>
      </c>
      <c r="M120" s="2">
        <v>9300.9600632189467</v>
      </c>
      <c r="N120" s="2">
        <v>1696.2599431924077</v>
      </c>
      <c r="O120" s="6">
        <v>4933.8521064285014</v>
      </c>
      <c r="P120" s="185"/>
      <c r="Q120" s="23">
        <v>121</v>
      </c>
      <c r="R120" s="23">
        <v>55</v>
      </c>
      <c r="S120" s="22">
        <v>121</v>
      </c>
      <c r="T120" s="23" t="s">
        <v>89</v>
      </c>
      <c r="U120" s="23" t="s">
        <v>89</v>
      </c>
      <c r="W120" s="40">
        <v>7.1428571428571423</v>
      </c>
      <c r="X120" s="23">
        <v>7.1428571428571423</v>
      </c>
      <c r="Y120" s="23">
        <v>14.285714285714285</v>
      </c>
      <c r="Z120" s="23">
        <v>0</v>
      </c>
      <c r="AA120" s="23">
        <v>0</v>
      </c>
      <c r="AB120" s="23">
        <v>71.428571428571416</v>
      </c>
      <c r="AC120" s="23">
        <v>130.7805633685816</v>
      </c>
      <c r="AD120" s="23">
        <v>130.7805633685816</v>
      </c>
      <c r="AE120" s="23">
        <v>261.56112673716319</v>
      </c>
      <c r="AF120" s="23">
        <v>0</v>
      </c>
      <c r="AG120" s="23">
        <v>0</v>
      </c>
      <c r="AH120" s="23">
        <v>1307.8056336858158</v>
      </c>
      <c r="AJ120" s="101" t="s">
        <v>64</v>
      </c>
      <c r="AK120" s="40">
        <v>25.352112676056336</v>
      </c>
      <c r="AL120" s="23">
        <v>25.352112676056336</v>
      </c>
      <c r="AM120" s="23">
        <v>21.12676056338028</v>
      </c>
      <c r="AN120" s="23">
        <v>28.169014084507044</v>
      </c>
      <c r="AO120" s="23">
        <v>0</v>
      </c>
      <c r="AP120" s="23">
        <v>430.03773207694837</v>
      </c>
      <c r="AQ120" s="23">
        <v>430.03773207694837</v>
      </c>
      <c r="AR120" s="23">
        <v>358.36477673079031</v>
      </c>
      <c r="AS120" s="23">
        <v>477.81970230772049</v>
      </c>
      <c r="AT120" s="23">
        <v>0</v>
      </c>
      <c r="AU120" s="23" t="s">
        <v>76</v>
      </c>
      <c r="AV120" s="39" t="s">
        <v>64</v>
      </c>
      <c r="AW120" s="40">
        <v>3090</v>
      </c>
      <c r="AX120" s="39" t="s">
        <v>76</v>
      </c>
      <c r="AY120" s="103"/>
      <c r="AZ120" s="22"/>
      <c r="BA120" s="22"/>
      <c r="BB120" s="22"/>
      <c r="BC120" s="22"/>
      <c r="BD120" s="22"/>
      <c r="BE120" s="22" t="s">
        <v>64</v>
      </c>
      <c r="BF120" s="110" t="s">
        <v>76</v>
      </c>
      <c r="BG120" s="40" t="s">
        <v>158</v>
      </c>
      <c r="BH120" s="39" t="s">
        <v>240</v>
      </c>
      <c r="BI120" s="103" t="s">
        <v>77</v>
      </c>
      <c r="BJ120" s="110">
        <v>0</v>
      </c>
      <c r="BR120" s="23" t="s">
        <v>64</v>
      </c>
      <c r="BS120" s="39" t="s">
        <v>76</v>
      </c>
      <c r="BT120" s="40" t="s">
        <v>90</v>
      </c>
      <c r="BV120" s="23" t="s">
        <v>76</v>
      </c>
      <c r="BX120" s="23" t="s">
        <v>77</v>
      </c>
      <c r="BZ120" s="39" t="s">
        <v>77</v>
      </c>
    </row>
    <row r="121" spans="1:78" x14ac:dyDescent="0.25">
      <c r="A121">
        <v>1808</v>
      </c>
      <c r="B121" t="s">
        <v>58</v>
      </c>
      <c r="C121" t="s">
        <v>15</v>
      </c>
      <c r="D121" t="s">
        <v>212</v>
      </c>
      <c r="E121" s="40">
        <v>15881</v>
      </c>
      <c r="F121" s="39">
        <v>16575</v>
      </c>
      <c r="G121">
        <f t="shared" si="1"/>
        <v>16575</v>
      </c>
      <c r="H121" s="5">
        <v>0</v>
      </c>
      <c r="I121" s="2">
        <v>81.303534299264214</v>
      </c>
      <c r="J121" s="2">
        <v>11.366609864654199</v>
      </c>
      <c r="K121" s="2">
        <v>7.3298558360815775</v>
      </c>
      <c r="L121" s="2">
        <v>0</v>
      </c>
      <c r="M121" s="2">
        <v>13476.060810103045</v>
      </c>
      <c r="N121" s="2">
        <v>1884.0155850664335</v>
      </c>
      <c r="O121" s="6">
        <v>1214.9236048305215</v>
      </c>
      <c r="P121" s="185"/>
      <c r="Q121" s="23">
        <v>45</v>
      </c>
      <c r="T121" s="23" t="s">
        <v>90</v>
      </c>
      <c r="U121" s="23" t="s">
        <v>90</v>
      </c>
      <c r="W121" s="98"/>
      <c r="X121" s="99"/>
      <c r="Y121" s="99"/>
      <c r="Z121" s="99"/>
      <c r="AA121" s="99"/>
      <c r="AB121" s="99"/>
      <c r="AC121" s="99"/>
      <c r="AD121" s="99"/>
      <c r="AE121" s="99"/>
      <c r="AF121" s="99"/>
      <c r="AG121" s="99"/>
      <c r="AH121" s="99"/>
      <c r="AI121" s="99"/>
      <c r="AJ121" s="101" t="s">
        <v>64</v>
      </c>
      <c r="AK121" s="40">
        <v>0</v>
      </c>
      <c r="AL121" s="23">
        <v>0</v>
      </c>
      <c r="AM121" s="23">
        <v>28.479424797900666</v>
      </c>
      <c r="AN121" s="23">
        <v>46.140167062374445</v>
      </c>
      <c r="AO121" s="23">
        <v>25.380408139724896</v>
      </c>
      <c r="AP121" s="23">
        <v>0</v>
      </c>
      <c r="AQ121" s="23">
        <v>0</v>
      </c>
      <c r="AR121" s="23">
        <v>536.55680172972313</v>
      </c>
      <c r="AS121" s="23">
        <v>869.28793843082371</v>
      </c>
      <c r="AT121" s="23">
        <v>478.17084490588672</v>
      </c>
      <c r="AU121" s="23" t="s">
        <v>76</v>
      </c>
      <c r="AW121" s="40">
        <v>1083</v>
      </c>
      <c r="AX121" s="39" t="s">
        <v>76</v>
      </c>
      <c r="AY121" s="103"/>
      <c r="AZ121" s="22"/>
      <c r="BA121" s="22"/>
      <c r="BB121" s="22"/>
      <c r="BC121" s="22"/>
      <c r="BD121" s="22"/>
      <c r="BE121" s="22" t="s">
        <v>64</v>
      </c>
      <c r="BF121" s="110" t="s">
        <v>76</v>
      </c>
      <c r="BG121" s="40" t="s">
        <v>63</v>
      </c>
      <c r="BI121" s="103" t="s">
        <v>77</v>
      </c>
      <c r="BJ121" s="110"/>
      <c r="BS121" s="39" t="s">
        <v>77</v>
      </c>
      <c r="BT121" s="40" t="s">
        <v>90</v>
      </c>
      <c r="BV121" s="23" t="s">
        <v>76</v>
      </c>
      <c r="BX121" s="23" t="s">
        <v>77</v>
      </c>
      <c r="BZ121" s="39" t="s">
        <v>77</v>
      </c>
    </row>
    <row r="122" spans="1:78" x14ac:dyDescent="0.25">
      <c r="A122">
        <v>1813</v>
      </c>
      <c r="B122" t="s">
        <v>59</v>
      </c>
      <c r="C122" t="s">
        <v>15</v>
      </c>
      <c r="D122" t="s">
        <v>212</v>
      </c>
      <c r="E122" s="40">
        <v>1000000</v>
      </c>
      <c r="F122" s="39">
        <v>455440</v>
      </c>
      <c r="G122">
        <f t="shared" si="1"/>
        <v>455440.00000000006</v>
      </c>
      <c r="H122" s="5">
        <v>0.38952801714710644</v>
      </c>
      <c r="I122" s="2">
        <v>99.582257993963523</v>
      </c>
      <c r="J122" s="2">
        <v>0</v>
      </c>
      <c r="K122" s="2">
        <v>2.8213988889374916E-2</v>
      </c>
      <c r="L122" s="2">
        <v>1774.0664012947816</v>
      </c>
      <c r="M122" s="2">
        <v>453537.43580770749</v>
      </c>
      <c r="N122" s="2">
        <v>0</v>
      </c>
      <c r="O122" s="6">
        <v>128.49779099776913</v>
      </c>
      <c r="P122" s="185"/>
      <c r="Q122" s="23">
        <v>33</v>
      </c>
      <c r="T122" s="23" t="s">
        <v>89</v>
      </c>
      <c r="U122" s="23" t="s">
        <v>89</v>
      </c>
      <c r="W122" s="40">
        <v>0</v>
      </c>
      <c r="X122" s="23">
        <v>0</v>
      </c>
      <c r="Y122" s="23">
        <v>0</v>
      </c>
      <c r="Z122" s="23">
        <v>68.781583380123521</v>
      </c>
      <c r="AA122" s="23">
        <v>31.218416619876471</v>
      </c>
      <c r="AB122" s="23">
        <v>0</v>
      </c>
      <c r="AC122" s="23">
        <v>0</v>
      </c>
      <c r="AD122" s="23">
        <v>0</v>
      </c>
      <c r="AE122" s="23">
        <v>0</v>
      </c>
      <c r="AF122" s="23">
        <v>1220.2309610253269</v>
      </c>
      <c r="AG122" s="23">
        <v>553.83544026945447</v>
      </c>
      <c r="AH122" s="23">
        <v>0</v>
      </c>
      <c r="AJ122" s="101" t="s">
        <v>64</v>
      </c>
      <c r="AK122" s="98"/>
      <c r="AL122" s="99"/>
      <c r="AM122" s="99"/>
      <c r="AN122" s="99"/>
      <c r="AO122" s="99"/>
      <c r="AP122" s="99"/>
      <c r="AQ122" s="99"/>
      <c r="AR122" s="99"/>
      <c r="AS122" s="99"/>
      <c r="AT122" s="99"/>
      <c r="AU122" s="99" t="s">
        <v>77</v>
      </c>
      <c r="AV122" s="39" t="s">
        <v>64</v>
      </c>
      <c r="AW122" s="40">
        <v>0</v>
      </c>
      <c r="AX122" s="39" t="s">
        <v>118</v>
      </c>
      <c r="AY122" s="103"/>
      <c r="AZ122" s="22"/>
      <c r="BA122" s="22"/>
      <c r="BB122" s="22"/>
      <c r="BC122" s="22"/>
      <c r="BD122" s="22"/>
      <c r="BE122" s="22" t="s">
        <v>64</v>
      </c>
      <c r="BF122" s="110" t="s">
        <v>76</v>
      </c>
      <c r="BG122" s="40" t="s">
        <v>63</v>
      </c>
      <c r="BI122" s="103" t="s">
        <v>77</v>
      </c>
      <c r="BJ122" s="110"/>
      <c r="BS122" s="39" t="s">
        <v>77</v>
      </c>
      <c r="BT122" s="40" t="s">
        <v>90</v>
      </c>
      <c r="BV122" s="23" t="s">
        <v>76</v>
      </c>
      <c r="BX122" s="23" t="s">
        <v>77</v>
      </c>
      <c r="BZ122" s="39" t="s">
        <v>77</v>
      </c>
    </row>
    <row r="123" spans="1:78" x14ac:dyDescent="0.25">
      <c r="A123">
        <v>1815</v>
      </c>
      <c r="B123" t="s">
        <v>58</v>
      </c>
      <c r="C123" t="s">
        <v>15</v>
      </c>
      <c r="D123" t="s">
        <v>212</v>
      </c>
      <c r="E123" s="40">
        <v>67833</v>
      </c>
      <c r="F123" s="39">
        <v>70799</v>
      </c>
      <c r="G123">
        <f t="shared" si="1"/>
        <v>70799.000000000015</v>
      </c>
      <c r="H123" s="5">
        <v>0</v>
      </c>
      <c r="I123" s="2">
        <v>72.300966807630147</v>
      </c>
      <c r="J123" s="2">
        <v>8.6611368295592577</v>
      </c>
      <c r="K123" s="2">
        <v>19.037896362810606</v>
      </c>
      <c r="L123" s="2">
        <v>0</v>
      </c>
      <c r="M123" s="2">
        <v>51188.36149013407</v>
      </c>
      <c r="N123" s="2">
        <v>6131.9982639596592</v>
      </c>
      <c r="O123" s="6">
        <v>13478.640245906283</v>
      </c>
      <c r="P123" s="185"/>
      <c r="Q123" s="23">
        <v>45</v>
      </c>
      <c r="T123" s="23" t="s">
        <v>90</v>
      </c>
      <c r="U123" s="23" t="s">
        <v>90</v>
      </c>
      <c r="W123" s="98"/>
      <c r="X123" s="99"/>
      <c r="Y123" s="99"/>
      <c r="Z123" s="99"/>
      <c r="AA123" s="99"/>
      <c r="AB123" s="99"/>
      <c r="AC123" s="99"/>
      <c r="AD123" s="99"/>
      <c r="AE123" s="99"/>
      <c r="AF123" s="99"/>
      <c r="AG123" s="99"/>
      <c r="AH123" s="99"/>
      <c r="AI123" s="99"/>
      <c r="AJ123" s="101" t="s">
        <v>64</v>
      </c>
      <c r="AK123" s="40">
        <v>2.0992327779914572</v>
      </c>
      <c r="AL123" s="23">
        <v>0</v>
      </c>
      <c r="AM123" s="23">
        <v>5.595254964675398</v>
      </c>
      <c r="AN123" s="23">
        <v>56.047018495651059</v>
      </c>
      <c r="AO123" s="23">
        <v>36.258493761682089</v>
      </c>
      <c r="AP123" s="23">
        <v>128.72491750290828</v>
      </c>
      <c r="AQ123" s="23">
        <v>0</v>
      </c>
      <c r="AR123" s="23">
        <v>343.10093729801207</v>
      </c>
      <c r="AS123" s="23">
        <v>3436.8022011544717</v>
      </c>
      <c r="AT123" s="23">
        <v>2223.3702080042672</v>
      </c>
      <c r="AU123" s="23" t="s">
        <v>76</v>
      </c>
      <c r="AW123" s="40">
        <v>2876</v>
      </c>
      <c r="AX123" s="39" t="s">
        <v>76</v>
      </c>
      <c r="AY123" s="103"/>
      <c r="AZ123" s="22"/>
      <c r="BA123" s="22"/>
      <c r="BB123" s="22"/>
      <c r="BC123" s="22"/>
      <c r="BD123" s="22"/>
      <c r="BE123" s="22" t="s">
        <v>64</v>
      </c>
      <c r="BF123" s="110" t="s">
        <v>76</v>
      </c>
      <c r="BG123" s="40" t="s">
        <v>63</v>
      </c>
      <c r="BI123" s="103" t="s">
        <v>77</v>
      </c>
      <c r="BJ123" s="110"/>
      <c r="BS123" s="39" t="s">
        <v>77</v>
      </c>
      <c r="BT123" s="40" t="s">
        <v>90</v>
      </c>
      <c r="BV123" s="23" t="s">
        <v>76</v>
      </c>
      <c r="BX123" s="23" t="s">
        <v>77</v>
      </c>
      <c r="BZ123" s="39" t="s">
        <v>77</v>
      </c>
    </row>
    <row r="124" spans="1:78" x14ac:dyDescent="0.25">
      <c r="A124">
        <v>1816</v>
      </c>
      <c r="B124" t="s">
        <v>59</v>
      </c>
      <c r="C124" t="s">
        <v>15</v>
      </c>
      <c r="D124" t="s">
        <v>212</v>
      </c>
      <c r="E124" s="40">
        <v>50000</v>
      </c>
      <c r="F124" s="39">
        <v>35000</v>
      </c>
      <c r="G124">
        <f t="shared" si="1"/>
        <v>35000</v>
      </c>
      <c r="H124" s="5">
        <v>5</v>
      </c>
      <c r="I124" s="2">
        <v>30</v>
      </c>
      <c r="J124" s="2">
        <v>20</v>
      </c>
      <c r="K124" s="2">
        <v>45</v>
      </c>
      <c r="L124" s="2">
        <v>1750</v>
      </c>
      <c r="M124" s="2">
        <v>10500</v>
      </c>
      <c r="N124" s="2">
        <v>7000</v>
      </c>
      <c r="O124" s="6">
        <v>15750</v>
      </c>
      <c r="P124" s="185"/>
      <c r="Q124" s="23">
        <v>8</v>
      </c>
      <c r="R124" s="23">
        <v>16</v>
      </c>
      <c r="S124" s="23">
        <v>16</v>
      </c>
      <c r="T124" s="23" t="s">
        <v>89</v>
      </c>
      <c r="U124" s="23" t="s">
        <v>90</v>
      </c>
      <c r="V124" s="39" t="s">
        <v>105</v>
      </c>
      <c r="W124" s="40">
        <v>5</v>
      </c>
      <c r="X124" s="23">
        <v>10</v>
      </c>
      <c r="Y124" s="23">
        <v>25</v>
      </c>
      <c r="Z124" s="23">
        <v>5</v>
      </c>
      <c r="AA124" s="23">
        <v>50</v>
      </c>
      <c r="AB124" s="23">
        <v>5</v>
      </c>
      <c r="AC124" s="23">
        <v>87.5</v>
      </c>
      <c r="AD124" s="23">
        <v>175</v>
      </c>
      <c r="AE124" s="23">
        <v>437.5</v>
      </c>
      <c r="AF124" s="23">
        <v>87.5</v>
      </c>
      <c r="AG124" s="23">
        <v>875</v>
      </c>
      <c r="AH124" s="23">
        <v>87.5</v>
      </c>
      <c r="AJ124" s="101" t="s">
        <v>64</v>
      </c>
      <c r="AK124" s="40">
        <v>0</v>
      </c>
      <c r="AL124" s="23">
        <v>0</v>
      </c>
      <c r="AM124" s="23">
        <v>0</v>
      </c>
      <c r="AN124" s="23">
        <v>100</v>
      </c>
      <c r="AO124" s="23">
        <v>0</v>
      </c>
      <c r="AP124" s="23">
        <v>0</v>
      </c>
      <c r="AQ124" s="23">
        <v>0</v>
      </c>
      <c r="AR124" s="23">
        <v>0</v>
      </c>
      <c r="AS124" s="23">
        <v>7000</v>
      </c>
      <c r="AT124" s="23">
        <v>0</v>
      </c>
      <c r="AU124" s="23" t="s">
        <v>76</v>
      </c>
      <c r="AV124" s="39" t="s">
        <v>64</v>
      </c>
      <c r="AW124" s="40">
        <v>5000</v>
      </c>
      <c r="AX124" s="39" t="s">
        <v>76</v>
      </c>
      <c r="AY124" s="103"/>
      <c r="AZ124" s="22"/>
      <c r="BA124" s="22"/>
      <c r="BB124" s="22"/>
      <c r="BC124" s="22">
        <v>29</v>
      </c>
      <c r="BD124" s="22">
        <v>2750</v>
      </c>
      <c r="BE124" s="22"/>
      <c r="BF124" s="110" t="s">
        <v>76</v>
      </c>
      <c r="BG124" s="40" t="s">
        <v>63</v>
      </c>
      <c r="BI124" s="103" t="s">
        <v>77</v>
      </c>
      <c r="BJ124" s="110"/>
      <c r="BS124" s="39" t="s">
        <v>77</v>
      </c>
      <c r="BT124" s="40" t="s">
        <v>89</v>
      </c>
      <c r="BU124" s="23">
        <v>2750</v>
      </c>
      <c r="BV124" s="23" t="s">
        <v>76</v>
      </c>
      <c r="BW124" s="23">
        <v>2750</v>
      </c>
      <c r="BX124" s="23" t="s">
        <v>76</v>
      </c>
      <c r="BY124" s="23">
        <v>100</v>
      </c>
      <c r="BZ124" s="39" t="s">
        <v>76</v>
      </c>
    </row>
    <row r="125" spans="1:78" x14ac:dyDescent="0.25">
      <c r="A125">
        <v>1820</v>
      </c>
      <c r="B125" t="s">
        <v>58</v>
      </c>
      <c r="C125" t="s">
        <v>15</v>
      </c>
      <c r="D125" t="s">
        <v>212</v>
      </c>
      <c r="E125" s="40">
        <v>172543</v>
      </c>
      <c r="F125" s="39">
        <v>180088.9</v>
      </c>
      <c r="G125">
        <f t="shared" si="1"/>
        <v>180088.9</v>
      </c>
      <c r="H125" s="5">
        <v>0</v>
      </c>
      <c r="I125" s="2">
        <v>83.163515352695256</v>
      </c>
      <c r="J125" s="2">
        <v>0.65116728460221596</v>
      </c>
      <c r="K125" s="2">
        <v>16.185317362702531</v>
      </c>
      <c r="L125" s="2">
        <v>0</v>
      </c>
      <c r="M125" s="2">
        <v>149768.26</v>
      </c>
      <c r="N125" s="2">
        <v>1172.68</v>
      </c>
      <c r="O125" s="6">
        <v>29147.959999999995</v>
      </c>
      <c r="P125" s="185"/>
      <c r="Q125" s="23">
        <v>45</v>
      </c>
      <c r="R125" s="23">
        <v>22.5</v>
      </c>
      <c r="S125" s="23">
        <v>22.5</v>
      </c>
      <c r="T125" s="23" t="s">
        <v>90</v>
      </c>
      <c r="U125" s="23" t="s">
        <v>77</v>
      </c>
      <c r="W125" s="98"/>
      <c r="X125" s="99"/>
      <c r="Y125" s="99"/>
      <c r="Z125" s="99"/>
      <c r="AA125" s="99"/>
      <c r="AB125" s="99"/>
      <c r="AC125" s="99"/>
      <c r="AD125" s="99"/>
      <c r="AE125" s="99"/>
      <c r="AF125" s="99"/>
      <c r="AG125" s="99"/>
      <c r="AH125" s="99"/>
      <c r="AI125" s="99"/>
      <c r="AJ125" s="101" t="s">
        <v>64</v>
      </c>
      <c r="AK125" s="40">
        <v>0.10632702993163055</v>
      </c>
      <c r="AL125" s="23">
        <v>0</v>
      </c>
      <c r="AM125" s="23">
        <v>23.881787716877923</v>
      </c>
      <c r="AN125" s="23">
        <v>75.206619969156264</v>
      </c>
      <c r="AO125" s="23">
        <v>0.80526528403417708</v>
      </c>
      <c r="AP125" s="23">
        <v>1.2468758146022452</v>
      </c>
      <c r="AQ125" s="23">
        <v>0</v>
      </c>
      <c r="AR125" s="23">
        <v>280.05694819828403</v>
      </c>
      <c r="AS125" s="23">
        <v>881.93299105430174</v>
      </c>
      <c r="AT125" s="23">
        <v>9.4431849328119881</v>
      </c>
      <c r="AU125" s="23" t="s">
        <v>76</v>
      </c>
      <c r="AW125" s="40">
        <v>859</v>
      </c>
      <c r="AX125" s="39" t="s">
        <v>76</v>
      </c>
      <c r="AY125" s="103"/>
      <c r="AZ125" s="22"/>
      <c r="BA125" s="22"/>
      <c r="BB125" s="22"/>
      <c r="BC125" s="22"/>
      <c r="BD125" s="22"/>
      <c r="BE125" s="22"/>
      <c r="BF125" s="110" t="s">
        <v>77</v>
      </c>
      <c r="BG125" s="40" t="s">
        <v>63</v>
      </c>
      <c r="BI125" s="103" t="s">
        <v>77</v>
      </c>
      <c r="BJ125" s="110"/>
      <c r="BS125" s="39" t="s">
        <v>77</v>
      </c>
      <c r="BT125" s="40" t="s">
        <v>89</v>
      </c>
      <c r="BU125" s="23">
        <v>3128.08</v>
      </c>
      <c r="BV125" s="23" t="s">
        <v>76</v>
      </c>
      <c r="BW125" s="23">
        <v>3128.08</v>
      </c>
      <c r="BX125" s="23" t="s">
        <v>76</v>
      </c>
      <c r="BY125" s="23">
        <v>100</v>
      </c>
      <c r="BZ125" s="39" t="s">
        <v>76</v>
      </c>
    </row>
    <row r="126" spans="1:78" x14ac:dyDescent="0.25">
      <c r="A126">
        <v>1821</v>
      </c>
      <c r="B126" t="s">
        <v>58</v>
      </c>
      <c r="C126" t="s">
        <v>47</v>
      </c>
      <c r="D126" t="s">
        <v>212</v>
      </c>
      <c r="E126" s="40">
        <v>13000</v>
      </c>
      <c r="F126" s="39">
        <v>287347</v>
      </c>
      <c r="G126">
        <f t="shared" si="1"/>
        <v>287347</v>
      </c>
      <c r="H126" s="5">
        <v>0</v>
      </c>
      <c r="I126" s="2">
        <v>99.547511312217196</v>
      </c>
      <c r="J126" s="2">
        <v>0.23076923076923078</v>
      </c>
      <c r="K126" s="2">
        <v>0.23807866341802991</v>
      </c>
      <c r="L126" s="2">
        <v>0</v>
      </c>
      <c r="M126" s="2">
        <v>286000</v>
      </c>
      <c r="N126" s="2">
        <v>663</v>
      </c>
      <c r="O126" s="6">
        <v>684</v>
      </c>
      <c r="P126" s="185"/>
      <c r="Q126" s="23">
        <v>76</v>
      </c>
      <c r="R126" s="23">
        <v>30</v>
      </c>
      <c r="T126" s="23" t="s">
        <v>89</v>
      </c>
      <c r="U126" s="23" t="s">
        <v>90</v>
      </c>
      <c r="V126" s="39" t="s">
        <v>106</v>
      </c>
      <c r="W126" s="98"/>
      <c r="X126" s="99"/>
      <c r="Y126" s="99"/>
      <c r="Z126" s="99"/>
      <c r="AA126" s="99"/>
      <c r="AB126" s="99"/>
      <c r="AC126" s="99"/>
      <c r="AD126" s="99"/>
      <c r="AE126" s="99"/>
      <c r="AF126" s="99"/>
      <c r="AG126" s="99"/>
      <c r="AH126" s="99"/>
      <c r="AI126" s="99"/>
      <c r="AJ126" s="101" t="s">
        <v>64</v>
      </c>
      <c r="AK126" s="98"/>
      <c r="AL126" s="99"/>
      <c r="AM126" s="99"/>
      <c r="AN126" s="99"/>
      <c r="AO126" s="99"/>
      <c r="AP126" s="99"/>
      <c r="AQ126" s="99"/>
      <c r="AR126" s="99"/>
      <c r="AS126" s="99"/>
      <c r="AT126" s="99"/>
      <c r="AU126" s="99" t="s">
        <v>77</v>
      </c>
      <c r="AV126" s="39" t="s">
        <v>64</v>
      </c>
      <c r="AW126" s="40">
        <v>0</v>
      </c>
      <c r="AX126" s="39" t="s">
        <v>118</v>
      </c>
      <c r="AY126" s="103"/>
      <c r="AZ126" s="22"/>
      <c r="BA126" s="22"/>
      <c r="BB126" s="22"/>
      <c r="BC126" s="22"/>
      <c r="BD126" s="22"/>
      <c r="BE126" s="22"/>
      <c r="BF126" s="110" t="s">
        <v>77</v>
      </c>
      <c r="BG126" s="40" t="s">
        <v>63</v>
      </c>
      <c r="BI126" s="103" t="s">
        <v>77</v>
      </c>
      <c r="BJ126" s="110"/>
      <c r="BS126" s="39" t="s">
        <v>77</v>
      </c>
      <c r="BT126" s="40" t="s">
        <v>90</v>
      </c>
      <c r="BV126" s="23" t="s">
        <v>76</v>
      </c>
      <c r="BX126" s="23" t="s">
        <v>77</v>
      </c>
      <c r="BZ126" s="39" t="s">
        <v>77</v>
      </c>
    </row>
    <row r="127" spans="1:78" x14ac:dyDescent="0.25">
      <c r="A127">
        <v>1827</v>
      </c>
      <c r="B127" t="s">
        <v>58</v>
      </c>
      <c r="C127" t="s">
        <v>15</v>
      </c>
      <c r="D127" t="s">
        <v>212</v>
      </c>
      <c r="E127" s="40">
        <v>60618</v>
      </c>
      <c r="F127" s="39">
        <v>53503</v>
      </c>
      <c r="G127">
        <f t="shared" si="1"/>
        <v>53503</v>
      </c>
      <c r="H127" s="5">
        <v>0</v>
      </c>
      <c r="I127" s="2">
        <v>90.308132254266113</v>
      </c>
      <c r="J127" s="2">
        <v>2.2880773040764071</v>
      </c>
      <c r="K127" s="2">
        <v>7.4037904416574776</v>
      </c>
      <c r="L127" s="2">
        <v>0</v>
      </c>
      <c r="M127" s="2">
        <v>48317.56</v>
      </c>
      <c r="N127" s="2">
        <v>1224.1900000000003</v>
      </c>
      <c r="O127" s="6">
        <v>3961.25</v>
      </c>
      <c r="P127" s="185"/>
      <c r="Q127" s="23">
        <v>45</v>
      </c>
      <c r="T127" s="23" t="s">
        <v>90</v>
      </c>
      <c r="U127" s="23" t="s">
        <v>77</v>
      </c>
      <c r="W127" s="98"/>
      <c r="X127" s="99"/>
      <c r="Y127" s="99"/>
      <c r="Z127" s="99"/>
      <c r="AA127" s="99"/>
      <c r="AB127" s="99"/>
      <c r="AC127" s="99"/>
      <c r="AD127" s="99"/>
      <c r="AE127" s="99"/>
      <c r="AF127" s="99"/>
      <c r="AG127" s="99"/>
      <c r="AH127" s="99"/>
      <c r="AI127" s="99"/>
      <c r="AJ127" s="101" t="s">
        <v>64</v>
      </c>
      <c r="AK127" s="40">
        <v>0.1089180993218415</v>
      </c>
      <c r="AL127" s="23">
        <v>0</v>
      </c>
      <c r="AM127" s="23">
        <v>33.374798644829546</v>
      </c>
      <c r="AN127" s="23">
        <v>50.794242245317953</v>
      </c>
      <c r="AO127" s="23">
        <v>15.72204101053066</v>
      </c>
      <c r="AP127" s="23">
        <v>1.3333644800880518</v>
      </c>
      <c r="AQ127" s="23">
        <v>0</v>
      </c>
      <c r="AR127" s="23">
        <v>408.57094753013894</v>
      </c>
      <c r="AS127" s="23">
        <v>621.81803414295803</v>
      </c>
      <c r="AT127" s="23">
        <v>192.46765384681535</v>
      </c>
      <c r="AU127" s="23" t="s">
        <v>76</v>
      </c>
      <c r="AW127" s="40">
        <v>2739</v>
      </c>
      <c r="AX127" s="39" t="s">
        <v>76</v>
      </c>
      <c r="AY127" s="103"/>
      <c r="AZ127" s="22"/>
      <c r="BA127" s="22"/>
      <c r="BB127" s="22"/>
      <c r="BC127" s="22"/>
      <c r="BD127" s="22"/>
      <c r="BE127" s="22" t="s">
        <v>64</v>
      </c>
      <c r="BF127" s="110" t="s">
        <v>76</v>
      </c>
      <c r="BG127" s="40" t="s">
        <v>63</v>
      </c>
      <c r="BI127" s="103" t="s">
        <v>77</v>
      </c>
      <c r="BJ127" s="110"/>
      <c r="BS127" s="39" t="s">
        <v>77</v>
      </c>
      <c r="BT127" s="40" t="s">
        <v>90</v>
      </c>
      <c r="BV127" s="23" t="s">
        <v>76</v>
      </c>
      <c r="BX127" s="23" t="s">
        <v>77</v>
      </c>
      <c r="BZ127" s="39" t="s">
        <v>77</v>
      </c>
    </row>
    <row r="128" spans="1:78" x14ac:dyDescent="0.25">
      <c r="A128">
        <v>1832</v>
      </c>
      <c r="B128" t="s">
        <v>59</v>
      </c>
      <c r="C128" t="s">
        <v>15</v>
      </c>
      <c r="D128" t="s">
        <v>212</v>
      </c>
      <c r="E128" s="40">
        <v>300000</v>
      </c>
      <c r="F128" s="39">
        <v>414041.4</v>
      </c>
      <c r="G128">
        <f t="shared" si="1"/>
        <v>414041.4</v>
      </c>
      <c r="H128" s="5">
        <v>0.36</v>
      </c>
      <c r="I128" s="2">
        <v>70.05</v>
      </c>
      <c r="J128" s="2">
        <v>7.14</v>
      </c>
      <c r="K128" s="2">
        <v>22.46</v>
      </c>
      <c r="L128" s="2">
        <v>1490.4</v>
      </c>
      <c r="M128" s="2">
        <v>290007</v>
      </c>
      <c r="N128" s="2">
        <v>29559.600000000002</v>
      </c>
      <c r="O128" s="6">
        <v>92984.400000000009</v>
      </c>
      <c r="P128" s="185"/>
      <c r="Q128" s="23">
        <v>68</v>
      </c>
      <c r="R128" s="23">
        <v>25</v>
      </c>
      <c r="S128" s="23">
        <v>25</v>
      </c>
      <c r="T128" s="23" t="s">
        <v>89</v>
      </c>
      <c r="U128" s="23" t="s">
        <v>77</v>
      </c>
      <c r="W128" s="98"/>
      <c r="X128" s="99"/>
      <c r="Y128" s="99"/>
      <c r="Z128" s="99"/>
      <c r="AA128" s="99"/>
      <c r="AB128" s="99"/>
      <c r="AC128" s="99"/>
      <c r="AD128" s="99"/>
      <c r="AE128" s="99"/>
      <c r="AF128" s="99"/>
      <c r="AG128" s="99"/>
      <c r="AH128" s="99"/>
      <c r="AI128" s="99"/>
      <c r="AJ128" s="101" t="s">
        <v>64</v>
      </c>
      <c r="AK128" s="40">
        <v>0</v>
      </c>
      <c r="AL128" s="23">
        <v>0</v>
      </c>
      <c r="AM128" s="23">
        <v>75</v>
      </c>
      <c r="AN128" s="23">
        <v>25</v>
      </c>
      <c r="AO128" s="23">
        <v>0</v>
      </c>
      <c r="AP128" s="23">
        <v>0</v>
      </c>
      <c r="AQ128" s="23">
        <v>0</v>
      </c>
      <c r="AR128" s="23">
        <v>22169.7</v>
      </c>
      <c r="AS128" s="23">
        <v>7389.9000000000005</v>
      </c>
      <c r="AT128" s="23">
        <v>0</v>
      </c>
      <c r="AU128" s="23" t="s">
        <v>76</v>
      </c>
      <c r="AW128" s="40">
        <v>0</v>
      </c>
      <c r="AX128" s="39" t="s">
        <v>118</v>
      </c>
      <c r="AY128" s="103">
        <v>6.69</v>
      </c>
      <c r="AZ128" s="26">
        <v>17700</v>
      </c>
      <c r="BA128" s="22"/>
      <c r="BB128" s="22"/>
      <c r="BC128" s="22"/>
      <c r="BD128" s="22"/>
      <c r="BE128" s="22"/>
      <c r="BF128" s="110" t="s">
        <v>76</v>
      </c>
      <c r="BG128" s="40" t="s">
        <v>63</v>
      </c>
      <c r="BI128" s="103" t="s">
        <v>77</v>
      </c>
      <c r="BJ128" s="110"/>
      <c r="BS128" s="39" t="s">
        <v>77</v>
      </c>
      <c r="BT128" s="40" t="s">
        <v>90</v>
      </c>
      <c r="BV128" s="23" t="s">
        <v>76</v>
      </c>
      <c r="BX128" s="23" t="s">
        <v>77</v>
      </c>
      <c r="BZ128" s="39" t="s">
        <v>77</v>
      </c>
    </row>
    <row r="129" spans="1:78" x14ac:dyDescent="0.25">
      <c r="A129">
        <v>1838</v>
      </c>
      <c r="B129" t="s">
        <v>59</v>
      </c>
      <c r="C129" t="s">
        <v>48</v>
      </c>
      <c r="D129" t="s">
        <v>212</v>
      </c>
      <c r="E129" s="40">
        <v>15000</v>
      </c>
      <c r="F129" s="39">
        <v>28500</v>
      </c>
      <c r="G129">
        <f t="shared" si="1"/>
        <v>28500</v>
      </c>
      <c r="H129" s="5">
        <v>0</v>
      </c>
      <c r="I129" s="2">
        <v>90</v>
      </c>
      <c r="J129" s="2">
        <v>0</v>
      </c>
      <c r="K129" s="2">
        <v>10</v>
      </c>
      <c r="L129" s="2">
        <v>0</v>
      </c>
      <c r="M129" s="2">
        <v>25650</v>
      </c>
      <c r="N129" s="2">
        <v>0</v>
      </c>
      <c r="O129" s="6">
        <v>2850</v>
      </c>
      <c r="P129" s="185"/>
      <c r="Q129" s="23">
        <v>8</v>
      </c>
      <c r="T129" s="23" t="s">
        <v>90</v>
      </c>
      <c r="U129" s="23" t="s">
        <v>90</v>
      </c>
      <c r="V129" s="39" t="s">
        <v>107</v>
      </c>
      <c r="W129" s="98"/>
      <c r="X129" s="99"/>
      <c r="Y129" s="99"/>
      <c r="Z129" s="99"/>
      <c r="AA129" s="99"/>
      <c r="AB129" s="99"/>
      <c r="AC129" s="99"/>
      <c r="AD129" s="99"/>
      <c r="AE129" s="99"/>
      <c r="AF129" s="99"/>
      <c r="AG129" s="99"/>
      <c r="AH129" s="99"/>
      <c r="AI129" s="99"/>
      <c r="AJ129" s="101" t="s">
        <v>64</v>
      </c>
      <c r="AU129" s="23" t="s">
        <v>137</v>
      </c>
      <c r="AW129" s="40">
        <v>0</v>
      </c>
      <c r="AX129" s="39" t="s">
        <v>118</v>
      </c>
      <c r="AY129" s="103"/>
      <c r="AZ129" s="22"/>
      <c r="BA129" s="22"/>
      <c r="BB129" s="22"/>
      <c r="BC129" s="22"/>
      <c r="BD129" s="22"/>
      <c r="BE129" s="22" t="s">
        <v>64</v>
      </c>
      <c r="BF129" s="110" t="s">
        <v>76</v>
      </c>
      <c r="BG129" s="40" t="s">
        <v>63</v>
      </c>
      <c r="BI129" s="103" t="s">
        <v>64</v>
      </c>
      <c r="BJ129" s="110">
        <v>0</v>
      </c>
      <c r="BR129" s="23" t="s">
        <v>64</v>
      </c>
      <c r="BS129" s="39" t="s">
        <v>76</v>
      </c>
      <c r="BT129" s="40" t="s">
        <v>63</v>
      </c>
      <c r="BV129" s="23" t="s">
        <v>76</v>
      </c>
      <c r="BX129" s="23" t="s">
        <v>77</v>
      </c>
      <c r="BZ129" s="39" t="s">
        <v>77</v>
      </c>
    </row>
    <row r="130" spans="1:78" x14ac:dyDescent="0.25">
      <c r="A130">
        <v>1861</v>
      </c>
      <c r="B130" t="s">
        <v>59</v>
      </c>
      <c r="C130" t="s">
        <v>49</v>
      </c>
      <c r="D130" t="s">
        <v>211</v>
      </c>
      <c r="E130" s="40">
        <v>3600</v>
      </c>
      <c r="F130" s="39">
        <v>2385</v>
      </c>
      <c r="G130">
        <f t="shared" si="1"/>
        <v>2385</v>
      </c>
      <c r="H130" s="5">
        <v>15</v>
      </c>
      <c r="I130" s="2">
        <v>85</v>
      </c>
      <c r="J130" s="2">
        <v>0</v>
      </c>
      <c r="K130" s="2">
        <v>0</v>
      </c>
      <c r="L130" s="2">
        <v>357.75</v>
      </c>
      <c r="M130" s="2">
        <v>2027.25</v>
      </c>
      <c r="N130" s="2">
        <v>0</v>
      </c>
      <c r="O130" s="6">
        <v>0</v>
      </c>
      <c r="P130" s="185"/>
      <c r="T130" s="23" t="s">
        <v>89</v>
      </c>
      <c r="U130" s="23" t="s">
        <v>89</v>
      </c>
      <c r="W130" s="40">
        <v>10</v>
      </c>
      <c r="X130" s="23">
        <v>2</v>
      </c>
      <c r="Y130" s="23">
        <v>3</v>
      </c>
      <c r="Z130" s="23">
        <v>8</v>
      </c>
      <c r="AA130" s="23">
        <v>70</v>
      </c>
      <c r="AB130" s="23">
        <v>7</v>
      </c>
      <c r="AC130" s="23">
        <v>35.774999999999999</v>
      </c>
      <c r="AD130" s="23">
        <v>7.1550000000000002</v>
      </c>
      <c r="AE130" s="23">
        <v>10.7325</v>
      </c>
      <c r="AF130" s="23">
        <v>28.62</v>
      </c>
      <c r="AG130" s="23">
        <v>250.42500000000001</v>
      </c>
      <c r="AH130" s="23">
        <v>25.0425</v>
      </c>
      <c r="AJ130" s="101" t="s">
        <v>134</v>
      </c>
      <c r="AK130" s="98"/>
      <c r="AL130" s="99"/>
      <c r="AM130" s="99"/>
      <c r="AN130" s="99"/>
      <c r="AO130" s="99"/>
      <c r="AP130" s="99"/>
      <c r="AQ130" s="99"/>
      <c r="AR130" s="99"/>
      <c r="AS130" s="99"/>
      <c r="AT130" s="99"/>
      <c r="AU130" s="99" t="s">
        <v>77</v>
      </c>
      <c r="AX130" s="39" t="s">
        <v>77</v>
      </c>
      <c r="AY130" s="103"/>
      <c r="AZ130" s="22"/>
      <c r="BA130" s="22"/>
      <c r="BB130" s="22"/>
      <c r="BC130" s="22"/>
      <c r="BD130" s="22"/>
      <c r="BE130" s="22"/>
      <c r="BF130" s="110" t="s">
        <v>77</v>
      </c>
      <c r="BG130" s="40" t="s">
        <v>77</v>
      </c>
      <c r="BI130" s="103" t="s">
        <v>77</v>
      </c>
      <c r="BJ130" s="110"/>
      <c r="BS130" s="39" t="s">
        <v>77</v>
      </c>
      <c r="BT130" s="40" t="s">
        <v>63</v>
      </c>
      <c r="BV130" s="23" t="s">
        <v>76</v>
      </c>
      <c r="BX130" s="23" t="s">
        <v>77</v>
      </c>
      <c r="BZ130" s="39" t="s">
        <v>77</v>
      </c>
    </row>
    <row r="131" spans="1:78" x14ac:dyDescent="0.25">
      <c r="A131">
        <v>1876</v>
      </c>
      <c r="B131" t="s">
        <v>58</v>
      </c>
      <c r="C131" t="s">
        <v>27</v>
      </c>
      <c r="D131" t="s">
        <v>210</v>
      </c>
      <c r="E131" s="40">
        <v>32618</v>
      </c>
      <c r="F131" s="39">
        <v>59006</v>
      </c>
      <c r="G131">
        <f t="shared" si="1"/>
        <v>59006</v>
      </c>
      <c r="H131" s="5">
        <v>0</v>
      </c>
      <c r="I131" s="2">
        <v>95.380130834152453</v>
      </c>
      <c r="J131" s="2">
        <v>0.82025556723045112</v>
      </c>
      <c r="K131" s="2">
        <v>3.7996135986170896</v>
      </c>
      <c r="L131" s="2">
        <v>0</v>
      </c>
      <c r="M131" s="2">
        <v>56280</v>
      </c>
      <c r="N131" s="2">
        <v>484</v>
      </c>
      <c r="O131" s="6">
        <v>2242</v>
      </c>
      <c r="P131" s="185"/>
      <c r="Q131" s="23">
        <v>62</v>
      </c>
      <c r="T131" s="23" t="s">
        <v>89</v>
      </c>
      <c r="U131" s="23" t="s">
        <v>89</v>
      </c>
      <c r="W131" s="98"/>
      <c r="X131" s="99"/>
      <c r="Y131" s="99"/>
      <c r="Z131" s="99"/>
      <c r="AA131" s="99"/>
      <c r="AB131" s="99"/>
      <c r="AC131" s="99"/>
      <c r="AD131" s="99"/>
      <c r="AE131" s="99"/>
      <c r="AF131" s="99"/>
      <c r="AG131" s="99"/>
      <c r="AH131" s="99"/>
      <c r="AI131" s="99"/>
      <c r="AJ131" s="101" t="s">
        <v>64</v>
      </c>
      <c r="AK131" s="98"/>
      <c r="AL131" s="99"/>
      <c r="AM131" s="99"/>
      <c r="AN131" s="99"/>
      <c r="AO131" s="99"/>
      <c r="AP131" s="99"/>
      <c r="AQ131" s="99"/>
      <c r="AR131" s="99"/>
      <c r="AS131" s="99"/>
      <c r="AT131" s="99"/>
      <c r="AU131" s="99" t="s">
        <v>77</v>
      </c>
      <c r="AX131" s="39" t="s">
        <v>77</v>
      </c>
      <c r="AY131" s="103"/>
      <c r="AZ131" s="22"/>
      <c r="BA131" s="22"/>
      <c r="BB131" s="22"/>
      <c r="BC131" s="22"/>
      <c r="BD131" s="22"/>
      <c r="BE131" s="22"/>
      <c r="BF131" s="110" t="s">
        <v>77</v>
      </c>
      <c r="BG131" s="40" t="s">
        <v>77</v>
      </c>
      <c r="BI131" s="103" t="s">
        <v>77</v>
      </c>
      <c r="BJ131" s="110"/>
      <c r="BS131" s="39" t="s">
        <v>77</v>
      </c>
      <c r="BT131" s="40" t="s">
        <v>90</v>
      </c>
      <c r="BV131" s="23" t="s">
        <v>76</v>
      </c>
      <c r="BX131" s="23" t="s">
        <v>77</v>
      </c>
      <c r="BZ131" s="39" t="s">
        <v>77</v>
      </c>
    </row>
    <row r="132" spans="1:78" x14ac:dyDescent="0.25">
      <c r="A132">
        <v>1882</v>
      </c>
      <c r="B132" t="s">
        <v>59</v>
      </c>
      <c r="C132" t="s">
        <v>48</v>
      </c>
      <c r="D132" t="s">
        <v>212</v>
      </c>
      <c r="E132" s="40">
        <v>10000</v>
      </c>
      <c r="F132" s="39">
        <v>14245.17</v>
      </c>
      <c r="G132">
        <f t="shared" ref="G132:G174" si="2">SUM(L132:O132)</f>
        <v>14245.169999999998</v>
      </c>
      <c r="H132" s="5">
        <v>0</v>
      </c>
      <c r="I132" s="2">
        <v>94.375993025914056</v>
      </c>
      <c r="J132" s="2">
        <v>5.6240069740859404</v>
      </c>
      <c r="K132" s="2">
        <v>0</v>
      </c>
      <c r="L132" s="2">
        <v>0</v>
      </c>
      <c r="M132" s="2">
        <v>13444.020645729601</v>
      </c>
      <c r="N132" s="2">
        <v>801.14935427039825</v>
      </c>
      <c r="O132" s="6">
        <v>0</v>
      </c>
      <c r="P132" s="185"/>
      <c r="Q132" s="23">
        <v>25</v>
      </c>
      <c r="R132" s="23">
        <v>8</v>
      </c>
      <c r="S132" s="23">
        <v>0</v>
      </c>
      <c r="T132" s="23" t="s">
        <v>64</v>
      </c>
      <c r="U132" s="23" t="s">
        <v>63</v>
      </c>
      <c r="V132" s="39" t="s">
        <v>108</v>
      </c>
      <c r="W132" s="98"/>
      <c r="X132" s="99"/>
      <c r="Y132" s="99"/>
      <c r="Z132" s="99"/>
      <c r="AA132" s="99"/>
      <c r="AB132" s="99"/>
      <c r="AC132" s="99"/>
      <c r="AD132" s="99"/>
      <c r="AE132" s="99"/>
      <c r="AF132" s="99"/>
      <c r="AG132" s="99"/>
      <c r="AH132" s="99"/>
      <c r="AI132" s="99"/>
      <c r="AJ132" s="101" t="s">
        <v>64</v>
      </c>
      <c r="AK132" s="40">
        <v>10</v>
      </c>
      <c r="AL132" s="23">
        <v>10</v>
      </c>
      <c r="AM132" s="23">
        <v>50</v>
      </c>
      <c r="AN132" s="23">
        <v>20</v>
      </c>
      <c r="AO132" s="23">
        <v>10</v>
      </c>
      <c r="AP132" s="23">
        <v>80.114935427039825</v>
      </c>
      <c r="AQ132" s="23">
        <v>80.114935427039825</v>
      </c>
      <c r="AR132" s="23">
        <v>400.57467713519912</v>
      </c>
      <c r="AS132" s="23">
        <v>160.22987085407965</v>
      </c>
      <c r="AT132" s="23">
        <v>80.114935427039825</v>
      </c>
      <c r="AU132" s="23" t="s">
        <v>76</v>
      </c>
      <c r="AW132" s="40">
        <v>0</v>
      </c>
      <c r="AX132" s="39" t="s">
        <v>118</v>
      </c>
      <c r="AY132" s="103">
        <v>0</v>
      </c>
      <c r="AZ132" s="22"/>
      <c r="BA132" s="22">
        <v>0</v>
      </c>
      <c r="BB132" s="22"/>
      <c r="BC132" s="22">
        <v>0</v>
      </c>
      <c r="BD132" s="22"/>
      <c r="BE132" s="22"/>
      <c r="BF132" s="110" t="s">
        <v>118</v>
      </c>
      <c r="BG132" s="40" t="s">
        <v>158</v>
      </c>
      <c r="BH132" s="39" t="s">
        <v>242</v>
      </c>
      <c r="BI132" s="103" t="s">
        <v>89</v>
      </c>
      <c r="BJ132" s="110">
        <v>0</v>
      </c>
      <c r="BR132" s="23" t="s">
        <v>64</v>
      </c>
      <c r="BS132" s="39" t="s">
        <v>65</v>
      </c>
      <c r="BT132" s="40" t="s">
        <v>63</v>
      </c>
      <c r="BV132" s="23" t="s">
        <v>76</v>
      </c>
      <c r="BX132" s="23" t="s">
        <v>77</v>
      </c>
      <c r="BZ132" s="39" t="s">
        <v>77</v>
      </c>
    </row>
    <row r="133" spans="1:78" x14ac:dyDescent="0.25">
      <c r="A133">
        <v>1883</v>
      </c>
      <c r="B133" t="s">
        <v>59</v>
      </c>
      <c r="C133" t="s">
        <v>48</v>
      </c>
      <c r="D133" t="s">
        <v>212</v>
      </c>
      <c r="E133" s="40">
        <v>200000</v>
      </c>
      <c r="F133" s="39">
        <v>413174.64</v>
      </c>
      <c r="G133">
        <f t="shared" si="2"/>
        <v>413174.64</v>
      </c>
      <c r="H133" s="5">
        <f>(L133/$F133)*100</f>
        <v>16.949152542372882</v>
      </c>
      <c r="I133" s="2">
        <f t="shared" ref="I133:K133" si="3">(M133/$F133)*100</f>
        <v>71.779661016949163</v>
      </c>
      <c r="J133" s="2">
        <f t="shared" si="3"/>
        <v>5.1694915254237284</v>
      </c>
      <c r="K133" s="2">
        <f t="shared" si="3"/>
        <v>6.1016949152542379</v>
      </c>
      <c r="L133" s="2">
        <v>70029.600000000006</v>
      </c>
      <c r="M133" s="2">
        <v>296575.35600000003</v>
      </c>
      <c r="N133" s="2">
        <v>21359.027999999998</v>
      </c>
      <c r="O133" s="6">
        <v>25210.656000000003</v>
      </c>
      <c r="P133" s="185"/>
      <c r="Q133" s="23">
        <v>17.5</v>
      </c>
      <c r="R133" s="23">
        <v>17.5</v>
      </c>
      <c r="S133" s="23">
        <v>17.5</v>
      </c>
      <c r="T133" s="23" t="s">
        <v>64</v>
      </c>
      <c r="U133" s="23" t="s">
        <v>64</v>
      </c>
      <c r="W133" s="40">
        <v>0</v>
      </c>
      <c r="X133" s="23">
        <v>3.9982864486648584</v>
      </c>
      <c r="Y133" s="23">
        <v>15.707553905469085</v>
      </c>
      <c r="Z133" s="23">
        <v>49.978580608310722</v>
      </c>
      <c r="AA133" s="23">
        <v>30.029987148364985</v>
      </c>
      <c r="AB133" s="23">
        <v>0.28559188919034695</v>
      </c>
      <c r="AC133" s="23">
        <v>0</v>
      </c>
      <c r="AD133" s="23">
        <v>2799.9840068542062</v>
      </c>
      <c r="AE133" s="23">
        <v>10999.93716978438</v>
      </c>
      <c r="AF133" s="23">
        <v>34999.800085677569</v>
      </c>
      <c r="AG133" s="23">
        <v>21029.879880051409</v>
      </c>
      <c r="AH133" s="23">
        <v>199.99885763244322</v>
      </c>
      <c r="AJ133" s="101" t="s">
        <v>64</v>
      </c>
      <c r="AK133" s="40">
        <v>6</v>
      </c>
      <c r="AL133" s="23">
        <v>1</v>
      </c>
      <c r="AM133" s="23">
        <v>10</v>
      </c>
      <c r="AN133" s="23">
        <v>80</v>
      </c>
      <c r="AO133" s="23">
        <v>3</v>
      </c>
      <c r="AP133" s="23">
        <v>1281.54168</v>
      </c>
      <c r="AQ133" s="23">
        <v>213.59027999999998</v>
      </c>
      <c r="AR133" s="23">
        <v>2135.9027999999998</v>
      </c>
      <c r="AS133" s="23">
        <v>17087.222399999999</v>
      </c>
      <c r="AT133" s="23">
        <v>640.77084000000002</v>
      </c>
      <c r="AU133" s="23" t="s">
        <v>76</v>
      </c>
      <c r="AW133" s="40">
        <v>0</v>
      </c>
      <c r="AX133" s="39" t="s">
        <v>118</v>
      </c>
      <c r="AY133" s="103"/>
      <c r="AZ133" s="22"/>
      <c r="BA133" s="22"/>
      <c r="BB133" s="22"/>
      <c r="BC133" s="22"/>
      <c r="BD133" s="22"/>
      <c r="BE133" s="22" t="s">
        <v>64</v>
      </c>
      <c r="BF133" s="110" t="s">
        <v>76</v>
      </c>
      <c r="BG133" s="40" t="s">
        <v>158</v>
      </c>
      <c r="BH133" s="39" t="s">
        <v>241</v>
      </c>
      <c r="BI133" s="103" t="s">
        <v>89</v>
      </c>
      <c r="BJ133" s="110">
        <v>0</v>
      </c>
      <c r="BR133" s="23" t="s">
        <v>196</v>
      </c>
      <c r="BS133" s="39" t="s">
        <v>76</v>
      </c>
      <c r="BT133" s="40" t="s">
        <v>63</v>
      </c>
      <c r="BV133" s="23" t="s">
        <v>76</v>
      </c>
      <c r="BX133" s="23" t="s">
        <v>77</v>
      </c>
      <c r="BZ133" s="39" t="s">
        <v>77</v>
      </c>
    </row>
    <row r="134" spans="1:78" x14ac:dyDescent="0.25">
      <c r="A134">
        <v>1887</v>
      </c>
      <c r="B134" t="s">
        <v>59</v>
      </c>
      <c r="C134" t="s">
        <v>48</v>
      </c>
      <c r="D134" t="s">
        <v>212</v>
      </c>
      <c r="E134" s="40">
        <v>10000</v>
      </c>
      <c r="F134" s="39">
        <v>13000</v>
      </c>
      <c r="G134">
        <f t="shared" si="2"/>
        <v>13000</v>
      </c>
      <c r="H134" s="5">
        <v>0</v>
      </c>
      <c r="I134" s="2">
        <v>90.335305719921095</v>
      </c>
      <c r="J134" s="2">
        <v>7.1005917159763312</v>
      </c>
      <c r="K134" s="2">
        <v>2.5641025641025639</v>
      </c>
      <c r="L134" s="2">
        <v>0</v>
      </c>
      <c r="M134" s="2">
        <v>11743.589743589742</v>
      </c>
      <c r="N134" s="2">
        <v>923.07692307692309</v>
      </c>
      <c r="O134" s="6">
        <v>333.33333333333331</v>
      </c>
      <c r="P134" s="185"/>
      <c r="Q134" s="23">
        <v>29</v>
      </c>
      <c r="T134" s="23" t="s">
        <v>63</v>
      </c>
      <c r="U134" s="23" t="s">
        <v>77</v>
      </c>
      <c r="W134" s="98"/>
      <c r="X134" s="99"/>
      <c r="Y134" s="99"/>
      <c r="Z134" s="99"/>
      <c r="AA134" s="99"/>
      <c r="AB134" s="99"/>
      <c r="AC134" s="99"/>
      <c r="AD134" s="99"/>
      <c r="AE134" s="99"/>
      <c r="AF134" s="99"/>
      <c r="AG134" s="99"/>
      <c r="AH134" s="99"/>
      <c r="AI134" s="99"/>
      <c r="AJ134" s="101" t="s">
        <v>77</v>
      </c>
      <c r="AK134" s="98"/>
      <c r="AL134" s="99"/>
      <c r="AM134" s="99"/>
      <c r="AN134" s="99"/>
      <c r="AO134" s="99"/>
      <c r="AP134" s="99"/>
      <c r="AQ134" s="99"/>
      <c r="AR134" s="99"/>
      <c r="AS134" s="99"/>
      <c r="AT134" s="99"/>
      <c r="AU134" s="99" t="s">
        <v>77</v>
      </c>
      <c r="AX134" s="39" t="s">
        <v>77</v>
      </c>
      <c r="AY134" s="103"/>
      <c r="AZ134" s="22"/>
      <c r="BA134" s="22"/>
      <c r="BB134" s="22"/>
      <c r="BC134" s="22"/>
      <c r="BD134" s="22"/>
      <c r="BE134" s="22"/>
      <c r="BF134" s="110" t="s">
        <v>77</v>
      </c>
      <c r="BG134" s="40" t="s">
        <v>77</v>
      </c>
      <c r="BI134" s="103" t="s">
        <v>77</v>
      </c>
      <c r="BJ134" s="110"/>
      <c r="BS134" s="39" t="s">
        <v>77</v>
      </c>
      <c r="BT134" s="40" t="s">
        <v>77</v>
      </c>
      <c r="BV134" s="23" t="s">
        <v>201</v>
      </c>
      <c r="BX134" s="23" t="s">
        <v>77</v>
      </c>
      <c r="BZ134" s="39" t="s">
        <v>77</v>
      </c>
    </row>
    <row r="135" spans="1:78" x14ac:dyDescent="0.25">
      <c r="A135">
        <v>1891</v>
      </c>
      <c r="B135" t="s">
        <v>59</v>
      </c>
      <c r="C135" t="s">
        <v>48</v>
      </c>
      <c r="D135" t="s">
        <v>212</v>
      </c>
      <c r="E135" s="40">
        <v>14000</v>
      </c>
      <c r="F135" s="39">
        <v>25000</v>
      </c>
      <c r="G135">
        <f t="shared" si="2"/>
        <v>25000</v>
      </c>
      <c r="H135" s="5">
        <v>1</v>
      </c>
      <c r="I135" s="2">
        <v>95</v>
      </c>
      <c r="J135" s="2">
        <v>2</v>
      </c>
      <c r="K135" s="2">
        <v>2</v>
      </c>
      <c r="L135" s="2">
        <v>250</v>
      </c>
      <c r="M135" s="2">
        <v>23750</v>
      </c>
      <c r="N135" s="2">
        <v>500</v>
      </c>
      <c r="O135" s="6">
        <v>500</v>
      </c>
      <c r="P135" s="185"/>
      <c r="Q135" s="23">
        <v>37.5</v>
      </c>
      <c r="T135" s="23" t="s">
        <v>64</v>
      </c>
      <c r="U135" s="23" t="s">
        <v>64</v>
      </c>
      <c r="V135" s="39" t="s">
        <v>109</v>
      </c>
      <c r="W135" s="98"/>
      <c r="X135" s="99"/>
      <c r="Y135" s="99"/>
      <c r="Z135" s="99"/>
      <c r="AA135" s="99"/>
      <c r="AB135" s="99"/>
      <c r="AC135" s="99"/>
      <c r="AD135" s="99"/>
      <c r="AE135" s="99"/>
      <c r="AF135" s="99"/>
      <c r="AG135" s="99"/>
      <c r="AH135" s="99"/>
      <c r="AI135" s="99"/>
      <c r="AJ135" s="101" t="s">
        <v>64</v>
      </c>
      <c r="AK135" s="98"/>
      <c r="AL135" s="99"/>
      <c r="AM135" s="99"/>
      <c r="AN135" s="99"/>
      <c r="AO135" s="99"/>
      <c r="AP135" s="99"/>
      <c r="AQ135" s="99"/>
      <c r="AR135" s="99"/>
      <c r="AS135" s="99"/>
      <c r="AT135" s="99"/>
      <c r="AU135" s="99" t="s">
        <v>77</v>
      </c>
      <c r="AV135" s="39" t="s">
        <v>64</v>
      </c>
      <c r="AW135" s="40">
        <v>0</v>
      </c>
      <c r="AX135" s="39" t="s">
        <v>118</v>
      </c>
      <c r="AY135" s="103"/>
      <c r="AZ135" s="22"/>
      <c r="BA135" s="22"/>
      <c r="BB135" s="22"/>
      <c r="BC135" s="22"/>
      <c r="BD135" s="22"/>
      <c r="BE135" s="22"/>
      <c r="BF135" s="110" t="s">
        <v>77</v>
      </c>
      <c r="BG135" s="40" t="s">
        <v>63</v>
      </c>
      <c r="BI135" s="103" t="s">
        <v>77</v>
      </c>
      <c r="BJ135" s="110"/>
      <c r="BS135" s="39" t="s">
        <v>77</v>
      </c>
      <c r="BT135" s="40" t="s">
        <v>64</v>
      </c>
      <c r="BV135" s="23" t="s">
        <v>76</v>
      </c>
      <c r="BX135" s="23" t="s">
        <v>77</v>
      </c>
      <c r="BZ135" s="39" t="s">
        <v>77</v>
      </c>
    </row>
    <row r="136" spans="1:78" x14ac:dyDescent="0.25">
      <c r="A136">
        <v>1900</v>
      </c>
      <c r="B136" t="s">
        <v>59</v>
      </c>
      <c r="C136" t="s">
        <v>14</v>
      </c>
      <c r="D136" t="s">
        <v>212</v>
      </c>
      <c r="E136" s="40">
        <v>30000</v>
      </c>
      <c r="F136" s="39">
        <v>35000</v>
      </c>
      <c r="G136">
        <f t="shared" si="2"/>
        <v>35000</v>
      </c>
      <c r="H136" s="5">
        <v>1</v>
      </c>
      <c r="I136" s="2">
        <v>76</v>
      </c>
      <c r="J136" s="2">
        <v>23</v>
      </c>
      <c r="K136" s="2">
        <v>0</v>
      </c>
      <c r="L136" s="2">
        <v>350</v>
      </c>
      <c r="M136" s="2">
        <v>26600</v>
      </c>
      <c r="N136" s="2">
        <v>8050</v>
      </c>
      <c r="O136" s="6">
        <v>0</v>
      </c>
      <c r="P136" s="185"/>
      <c r="Q136" s="23">
        <v>57.9</v>
      </c>
      <c r="R136" s="23">
        <v>57.9</v>
      </c>
      <c r="S136" s="23">
        <v>57.9</v>
      </c>
      <c r="T136" s="23" t="s">
        <v>89</v>
      </c>
      <c r="U136" s="23" t="s">
        <v>89</v>
      </c>
      <c r="W136" s="40">
        <v>4</v>
      </c>
      <c r="X136" s="23">
        <v>4</v>
      </c>
      <c r="Y136" s="23">
        <v>62</v>
      </c>
      <c r="Z136" s="23">
        <v>10</v>
      </c>
      <c r="AA136" s="23">
        <v>10</v>
      </c>
      <c r="AB136" s="23">
        <v>10</v>
      </c>
      <c r="AC136" s="23">
        <v>14</v>
      </c>
      <c r="AD136" s="23">
        <v>14</v>
      </c>
      <c r="AE136" s="23">
        <v>217</v>
      </c>
      <c r="AF136" s="23">
        <v>35</v>
      </c>
      <c r="AG136" s="23">
        <v>35</v>
      </c>
      <c r="AH136" s="23">
        <v>35</v>
      </c>
      <c r="AJ136" s="101" t="s">
        <v>64</v>
      </c>
      <c r="AK136" s="40">
        <v>0</v>
      </c>
      <c r="AL136" s="23">
        <v>0</v>
      </c>
      <c r="AM136" s="23">
        <v>0</v>
      </c>
      <c r="AN136" s="23">
        <v>100</v>
      </c>
      <c r="AO136" s="23">
        <v>0</v>
      </c>
      <c r="AP136" s="23">
        <v>0</v>
      </c>
      <c r="AQ136" s="23">
        <v>0</v>
      </c>
      <c r="AR136" s="23">
        <v>0</v>
      </c>
      <c r="AS136" s="23">
        <v>8050</v>
      </c>
      <c r="AT136" s="23">
        <v>0</v>
      </c>
      <c r="AU136" s="23" t="s">
        <v>76</v>
      </c>
      <c r="AW136" s="40">
        <v>0</v>
      </c>
      <c r="AX136" s="39" t="s">
        <v>118</v>
      </c>
      <c r="AY136" s="103">
        <v>0</v>
      </c>
      <c r="AZ136" s="22"/>
      <c r="BA136" s="22">
        <v>0</v>
      </c>
      <c r="BB136" s="22"/>
      <c r="BC136" s="22">
        <v>0</v>
      </c>
      <c r="BD136" s="22"/>
      <c r="BE136" s="22"/>
      <c r="BF136" s="110" t="s">
        <v>118</v>
      </c>
      <c r="BG136" s="40" t="s">
        <v>63</v>
      </c>
      <c r="BI136" s="103" t="s">
        <v>77</v>
      </c>
      <c r="BJ136" s="110"/>
      <c r="BS136" s="39" t="s">
        <v>77</v>
      </c>
      <c r="BT136" s="40" t="s">
        <v>63</v>
      </c>
      <c r="BV136" s="23" t="s">
        <v>76</v>
      </c>
      <c r="BX136" s="23" t="s">
        <v>77</v>
      </c>
      <c r="BZ136" s="39" t="s">
        <v>77</v>
      </c>
    </row>
    <row r="137" spans="1:78" x14ac:dyDescent="0.25">
      <c r="A137">
        <v>1907</v>
      </c>
      <c r="B137" t="s">
        <v>59</v>
      </c>
      <c r="C137" t="s">
        <v>14</v>
      </c>
      <c r="D137" t="s">
        <v>212</v>
      </c>
      <c r="E137" s="40">
        <v>150000</v>
      </c>
      <c r="F137" s="39">
        <v>178501.33</v>
      </c>
      <c r="G137">
        <f t="shared" si="2"/>
        <v>178501.33000000002</v>
      </c>
      <c r="H137" s="5">
        <v>0</v>
      </c>
      <c r="I137" s="2">
        <v>97.985434173669475</v>
      </c>
      <c r="J137" s="2">
        <v>1.9524761904761907</v>
      </c>
      <c r="K137" s="2">
        <v>6.2834733893557412E-2</v>
      </c>
      <c r="L137" s="2">
        <v>0</v>
      </c>
      <c r="M137" s="2">
        <v>174904</v>
      </c>
      <c r="N137" s="2">
        <v>3485.1700000000005</v>
      </c>
      <c r="O137" s="6">
        <v>112.15999999999998</v>
      </c>
      <c r="P137" s="185"/>
      <c r="Q137" s="23">
        <v>30.21</v>
      </c>
      <c r="R137" s="23">
        <v>30.21</v>
      </c>
      <c r="S137" s="23">
        <v>30.21</v>
      </c>
      <c r="T137" s="23" t="s">
        <v>89</v>
      </c>
      <c r="U137" s="23" t="s">
        <v>89</v>
      </c>
      <c r="W137" s="98"/>
      <c r="X137" s="99"/>
      <c r="Y137" s="99"/>
      <c r="Z137" s="99"/>
      <c r="AA137" s="99"/>
      <c r="AB137" s="99"/>
      <c r="AC137" s="99"/>
      <c r="AD137" s="99"/>
      <c r="AE137" s="99"/>
      <c r="AF137" s="99"/>
      <c r="AG137" s="99"/>
      <c r="AH137" s="99"/>
      <c r="AI137" s="99"/>
      <c r="AJ137" s="101" t="s">
        <v>64</v>
      </c>
      <c r="AK137" s="40">
        <v>0</v>
      </c>
      <c r="AL137" s="23">
        <v>0</v>
      </c>
      <c r="AM137" s="23">
        <v>0</v>
      </c>
      <c r="AN137" s="23">
        <v>100</v>
      </c>
      <c r="AO137" s="23">
        <v>0</v>
      </c>
      <c r="AP137" s="23">
        <v>0</v>
      </c>
      <c r="AQ137" s="23">
        <v>0</v>
      </c>
      <c r="AR137" s="23">
        <v>0</v>
      </c>
      <c r="AS137" s="23">
        <v>3485.1700000000005</v>
      </c>
      <c r="AT137" s="23">
        <v>0</v>
      </c>
      <c r="AU137" s="23" t="s">
        <v>76</v>
      </c>
      <c r="AW137" s="40">
        <v>0</v>
      </c>
      <c r="AX137" s="39" t="s">
        <v>118</v>
      </c>
      <c r="AY137" s="103"/>
      <c r="AZ137" s="22"/>
      <c r="BA137" s="22"/>
      <c r="BB137" s="22"/>
      <c r="BC137" s="22"/>
      <c r="BD137" s="22"/>
      <c r="BE137" s="22" t="s">
        <v>64</v>
      </c>
      <c r="BF137" s="110" t="s">
        <v>76</v>
      </c>
      <c r="BG137" s="40" t="s">
        <v>77</v>
      </c>
      <c r="BI137" s="103" t="s">
        <v>77</v>
      </c>
      <c r="BJ137" s="110"/>
      <c r="BS137" s="39" t="s">
        <v>77</v>
      </c>
      <c r="BT137" s="40" t="s">
        <v>77</v>
      </c>
      <c r="BV137" s="23" t="s">
        <v>201</v>
      </c>
      <c r="BX137" s="23" t="s">
        <v>77</v>
      </c>
      <c r="BZ137" s="39" t="s">
        <v>77</v>
      </c>
    </row>
    <row r="138" spans="1:78" x14ac:dyDescent="0.25">
      <c r="A138">
        <v>1908</v>
      </c>
      <c r="B138" t="s">
        <v>58</v>
      </c>
      <c r="C138" t="s">
        <v>14</v>
      </c>
      <c r="D138" t="s">
        <v>212</v>
      </c>
      <c r="E138" s="40">
        <v>80000</v>
      </c>
      <c r="F138" s="39">
        <v>100000</v>
      </c>
      <c r="G138">
        <f t="shared" si="2"/>
        <v>100000</v>
      </c>
      <c r="H138" s="5">
        <v>50</v>
      </c>
      <c r="I138" s="2">
        <v>50</v>
      </c>
      <c r="J138" s="2">
        <v>0</v>
      </c>
      <c r="K138" s="2">
        <v>0</v>
      </c>
      <c r="L138" s="2">
        <v>50000</v>
      </c>
      <c r="M138" s="2">
        <v>50000</v>
      </c>
      <c r="N138" s="2">
        <v>0</v>
      </c>
      <c r="O138" s="6">
        <v>0</v>
      </c>
      <c r="P138" s="185"/>
      <c r="Q138" s="23">
        <v>24</v>
      </c>
      <c r="R138" s="23">
        <v>24</v>
      </c>
      <c r="S138" s="23">
        <v>24</v>
      </c>
      <c r="T138" s="23" t="s">
        <v>89</v>
      </c>
      <c r="U138" s="23" t="s">
        <v>89</v>
      </c>
      <c r="W138" s="98"/>
      <c r="X138" s="99"/>
      <c r="Y138" s="99"/>
      <c r="Z138" s="99"/>
      <c r="AA138" s="99"/>
      <c r="AB138" s="99"/>
      <c r="AC138" s="99"/>
      <c r="AD138" s="99"/>
      <c r="AE138" s="99"/>
      <c r="AF138" s="99"/>
      <c r="AG138" s="99"/>
      <c r="AH138" s="99"/>
      <c r="AI138" s="99"/>
      <c r="AJ138" s="101" t="s">
        <v>63</v>
      </c>
      <c r="AK138" s="98"/>
      <c r="AL138" s="99"/>
      <c r="AM138" s="99"/>
      <c r="AN138" s="99"/>
      <c r="AO138" s="99"/>
      <c r="AP138" s="99"/>
      <c r="AQ138" s="99"/>
      <c r="AR138" s="99"/>
      <c r="AS138" s="99"/>
      <c r="AT138" s="99"/>
      <c r="AU138" s="99" t="s">
        <v>77</v>
      </c>
      <c r="AV138" s="39" t="s">
        <v>64</v>
      </c>
      <c r="AX138" s="39" t="s">
        <v>77</v>
      </c>
      <c r="AY138" s="103"/>
      <c r="AZ138" s="22"/>
      <c r="BA138" s="22"/>
      <c r="BB138" s="22"/>
      <c r="BC138" s="22"/>
      <c r="BD138" s="22"/>
      <c r="BE138" s="22"/>
      <c r="BF138" s="110" t="s">
        <v>77</v>
      </c>
      <c r="BG138" s="40" t="s">
        <v>77</v>
      </c>
      <c r="BI138" s="103" t="s">
        <v>77</v>
      </c>
      <c r="BJ138" s="110"/>
      <c r="BS138" s="39" t="s">
        <v>77</v>
      </c>
      <c r="BT138" s="40" t="s">
        <v>90</v>
      </c>
      <c r="BV138" s="23" t="s">
        <v>76</v>
      </c>
      <c r="BX138" s="23" t="s">
        <v>77</v>
      </c>
      <c r="BZ138" s="39" t="s">
        <v>77</v>
      </c>
    </row>
    <row r="139" spans="1:78" x14ac:dyDescent="0.25">
      <c r="A139">
        <v>1913</v>
      </c>
      <c r="B139" t="s">
        <v>59</v>
      </c>
      <c r="C139" t="s">
        <v>33</v>
      </c>
      <c r="D139" t="s">
        <v>213</v>
      </c>
      <c r="E139" s="40">
        <v>300000</v>
      </c>
      <c r="F139" s="39">
        <v>246697</v>
      </c>
      <c r="H139" s="178"/>
      <c r="I139" s="177"/>
      <c r="J139" s="177"/>
      <c r="K139" s="177"/>
      <c r="L139" s="177"/>
      <c r="M139" s="177"/>
      <c r="N139" s="177"/>
      <c r="O139" s="179"/>
      <c r="P139" s="185"/>
      <c r="Q139" s="23">
        <v>66</v>
      </c>
      <c r="R139" s="23">
        <v>15</v>
      </c>
      <c r="S139" s="23">
        <v>15</v>
      </c>
      <c r="T139" s="23" t="s">
        <v>64</v>
      </c>
      <c r="U139" s="23" t="s">
        <v>64</v>
      </c>
      <c r="W139" s="98"/>
      <c r="X139" s="99"/>
      <c r="Y139" s="99"/>
      <c r="Z139" s="99"/>
      <c r="AA139" s="99"/>
      <c r="AB139" s="99"/>
      <c r="AC139" s="99"/>
      <c r="AD139" s="99"/>
      <c r="AE139" s="99"/>
      <c r="AF139" s="99"/>
      <c r="AG139" s="99"/>
      <c r="AH139" s="99"/>
      <c r="AI139" s="99"/>
      <c r="AJ139" s="101" t="s">
        <v>64</v>
      </c>
      <c r="AK139" s="98"/>
      <c r="AL139" s="99"/>
      <c r="AM139" s="99"/>
      <c r="AN139" s="99"/>
      <c r="AO139" s="99"/>
      <c r="AP139" s="99"/>
      <c r="AQ139" s="99"/>
      <c r="AR139" s="99"/>
      <c r="AS139" s="99"/>
      <c r="AT139" s="99"/>
      <c r="AU139" s="99" t="s">
        <v>77</v>
      </c>
      <c r="AW139" s="40">
        <v>310.56</v>
      </c>
      <c r="AX139" s="39" t="s">
        <v>76</v>
      </c>
      <c r="AY139" s="103"/>
      <c r="AZ139" s="22"/>
      <c r="BA139" s="22"/>
      <c r="BB139" s="22"/>
      <c r="BC139" s="22"/>
      <c r="BD139" s="22"/>
      <c r="BE139" s="22"/>
      <c r="BF139" s="110" t="s">
        <v>76</v>
      </c>
      <c r="BG139" s="40" t="s">
        <v>158</v>
      </c>
      <c r="BH139" s="39" t="s">
        <v>246</v>
      </c>
      <c r="BI139" s="103" t="s">
        <v>64</v>
      </c>
      <c r="BJ139" s="110">
        <v>-30</v>
      </c>
      <c r="BR139" s="23" t="s">
        <v>64</v>
      </c>
      <c r="BS139" s="39" t="s">
        <v>65</v>
      </c>
      <c r="BT139" s="40" t="s">
        <v>64</v>
      </c>
      <c r="BV139" s="23" t="s">
        <v>76</v>
      </c>
      <c r="BX139" s="23" t="s">
        <v>190</v>
      </c>
      <c r="BZ139" s="39" t="s">
        <v>77</v>
      </c>
    </row>
    <row r="140" spans="1:78" x14ac:dyDescent="0.25">
      <c r="A140">
        <v>1918</v>
      </c>
      <c r="B140" t="s">
        <v>58</v>
      </c>
      <c r="C140" t="s">
        <v>33</v>
      </c>
      <c r="D140" t="s">
        <v>213</v>
      </c>
      <c r="E140" s="40">
        <v>49000</v>
      </c>
      <c r="F140" s="39">
        <v>18335.739999999998</v>
      </c>
      <c r="G140">
        <f t="shared" si="2"/>
        <v>18335.739999999998</v>
      </c>
      <c r="H140" s="5">
        <v>0</v>
      </c>
      <c r="I140" s="2">
        <v>89.401409487699993</v>
      </c>
      <c r="J140" s="2">
        <v>0</v>
      </c>
      <c r="K140" s="2">
        <v>10.598590512300023</v>
      </c>
      <c r="L140" s="2">
        <v>0</v>
      </c>
      <c r="M140" s="2">
        <v>16392.41</v>
      </c>
      <c r="N140" s="2">
        <v>0</v>
      </c>
      <c r="O140" s="6">
        <v>1943.33</v>
      </c>
      <c r="P140" s="185"/>
      <c r="Q140" s="23">
        <v>40</v>
      </c>
      <c r="T140" s="23" t="s">
        <v>64</v>
      </c>
      <c r="U140" s="23" t="s">
        <v>64</v>
      </c>
      <c r="W140" s="98"/>
      <c r="X140" s="99"/>
      <c r="Y140" s="99"/>
      <c r="Z140" s="99"/>
      <c r="AA140" s="99"/>
      <c r="AB140" s="99"/>
      <c r="AC140" s="99"/>
      <c r="AD140" s="99"/>
      <c r="AE140" s="99"/>
      <c r="AF140" s="99"/>
      <c r="AG140" s="99"/>
      <c r="AH140" s="99"/>
      <c r="AI140" s="99"/>
      <c r="AJ140" s="101" t="s">
        <v>63</v>
      </c>
      <c r="AK140" s="98"/>
      <c r="AL140" s="99"/>
      <c r="AM140" s="99"/>
      <c r="AN140" s="99"/>
      <c r="AO140" s="99"/>
      <c r="AP140" s="99"/>
      <c r="AQ140" s="99"/>
      <c r="AR140" s="99"/>
      <c r="AS140" s="99"/>
      <c r="AT140" s="99"/>
      <c r="AU140" s="99" t="s">
        <v>77</v>
      </c>
      <c r="AW140" s="40">
        <v>0</v>
      </c>
      <c r="AX140" s="39" t="s">
        <v>118</v>
      </c>
      <c r="AY140" s="103"/>
      <c r="AZ140" s="22"/>
      <c r="BA140" s="22"/>
      <c r="BB140" s="22"/>
      <c r="BC140" s="22"/>
      <c r="BD140" s="22"/>
      <c r="BE140" s="22"/>
      <c r="BF140" s="110" t="s">
        <v>77</v>
      </c>
      <c r="BG140" s="40" t="s">
        <v>63</v>
      </c>
      <c r="BI140" s="103" t="s">
        <v>90</v>
      </c>
      <c r="BJ140" s="110"/>
      <c r="BR140" s="23" t="s">
        <v>64</v>
      </c>
      <c r="BS140" s="39" t="s">
        <v>65</v>
      </c>
      <c r="BT140" s="40" t="s">
        <v>90</v>
      </c>
      <c r="BV140" s="23" t="s">
        <v>76</v>
      </c>
      <c r="BX140" s="23" t="s">
        <v>77</v>
      </c>
      <c r="BZ140" s="39" t="s">
        <v>77</v>
      </c>
    </row>
    <row r="141" spans="1:78" x14ac:dyDescent="0.25">
      <c r="A141">
        <v>1919</v>
      </c>
      <c r="B141" t="s">
        <v>59</v>
      </c>
      <c r="C141" t="s">
        <v>33</v>
      </c>
      <c r="D141" t="s">
        <v>213</v>
      </c>
      <c r="E141" s="40"/>
      <c r="F141" s="39">
        <v>360000</v>
      </c>
      <c r="G141">
        <f t="shared" si="2"/>
        <v>360000</v>
      </c>
      <c r="H141" s="5">
        <v>10</v>
      </c>
      <c r="I141" s="2">
        <v>90</v>
      </c>
      <c r="J141" s="2">
        <v>0</v>
      </c>
      <c r="K141" s="2">
        <v>0</v>
      </c>
      <c r="L141" s="2">
        <v>36000</v>
      </c>
      <c r="M141" s="2">
        <v>324000</v>
      </c>
      <c r="N141" s="2">
        <v>0</v>
      </c>
      <c r="O141" s="6">
        <v>0</v>
      </c>
      <c r="P141" s="185"/>
      <c r="Q141" s="23">
        <v>21</v>
      </c>
      <c r="R141" s="23">
        <v>21</v>
      </c>
      <c r="S141" s="23">
        <v>21</v>
      </c>
      <c r="T141" s="23" t="s">
        <v>64</v>
      </c>
      <c r="U141" s="23" t="s">
        <v>64</v>
      </c>
      <c r="W141" s="40">
        <v>1</v>
      </c>
      <c r="X141" s="23">
        <v>1</v>
      </c>
      <c r="Y141" s="23">
        <v>95</v>
      </c>
      <c r="Z141" s="23">
        <v>0</v>
      </c>
      <c r="AA141" s="23">
        <v>1</v>
      </c>
      <c r="AB141" s="23">
        <v>2</v>
      </c>
      <c r="AC141" s="23">
        <v>360</v>
      </c>
      <c r="AD141" s="23">
        <v>360</v>
      </c>
      <c r="AE141" s="23">
        <v>34200</v>
      </c>
      <c r="AF141" s="23">
        <v>0</v>
      </c>
      <c r="AG141" s="23">
        <v>360</v>
      </c>
      <c r="AH141" s="23">
        <v>720</v>
      </c>
      <c r="AJ141" s="101" t="s">
        <v>63</v>
      </c>
      <c r="AK141" s="98"/>
      <c r="AL141" s="99"/>
      <c r="AM141" s="99"/>
      <c r="AN141" s="99"/>
      <c r="AO141" s="99"/>
      <c r="AP141" s="99"/>
      <c r="AQ141" s="99"/>
      <c r="AR141" s="99"/>
      <c r="AS141" s="99"/>
      <c r="AT141" s="99"/>
      <c r="AU141" s="99" t="s">
        <v>77</v>
      </c>
      <c r="AX141" s="39" t="s">
        <v>77</v>
      </c>
      <c r="AY141" s="103"/>
      <c r="AZ141" s="22"/>
      <c r="BA141" s="22"/>
      <c r="BB141" s="22">
        <f>(1500*263.13)/2000</f>
        <v>197.3475</v>
      </c>
      <c r="BC141" s="22"/>
      <c r="BD141" s="22"/>
      <c r="BE141" s="22"/>
      <c r="BF141" s="110" t="s">
        <v>77</v>
      </c>
      <c r="BG141" s="40" t="s">
        <v>77</v>
      </c>
      <c r="BI141" s="103" t="s">
        <v>77</v>
      </c>
      <c r="BJ141" s="110"/>
      <c r="BS141" s="39" t="s">
        <v>77</v>
      </c>
      <c r="BT141" s="40" t="s">
        <v>77</v>
      </c>
      <c r="BV141" s="23" t="s">
        <v>201</v>
      </c>
      <c r="BX141" s="23" t="s">
        <v>77</v>
      </c>
      <c r="BZ141" s="39" t="s">
        <v>77</v>
      </c>
    </row>
    <row r="142" spans="1:78" x14ac:dyDescent="0.25">
      <c r="A142">
        <v>1926</v>
      </c>
      <c r="B142" t="s">
        <v>59</v>
      </c>
      <c r="C142" t="s">
        <v>37</v>
      </c>
      <c r="D142" t="s">
        <v>210</v>
      </c>
      <c r="E142" s="40">
        <v>124000</v>
      </c>
      <c r="F142" s="39">
        <v>221742</v>
      </c>
      <c r="G142">
        <f t="shared" si="2"/>
        <v>221742</v>
      </c>
      <c r="H142" s="5">
        <v>0</v>
      </c>
      <c r="I142" s="2">
        <v>98.53072489650134</v>
      </c>
      <c r="J142" s="2">
        <v>1.4692751034986606</v>
      </c>
      <c r="K142" s="2">
        <v>0</v>
      </c>
      <c r="L142" s="2">
        <v>0</v>
      </c>
      <c r="M142" s="2">
        <v>218484</v>
      </c>
      <c r="N142" s="2">
        <v>3258</v>
      </c>
      <c r="O142" s="6">
        <v>0</v>
      </c>
      <c r="P142" s="185"/>
      <c r="Q142" s="23">
        <v>35</v>
      </c>
      <c r="R142" s="23">
        <v>35</v>
      </c>
      <c r="S142" s="23">
        <v>35</v>
      </c>
      <c r="T142" s="23" t="s">
        <v>64</v>
      </c>
      <c r="U142" s="23" t="s">
        <v>64</v>
      </c>
      <c r="W142" s="98"/>
      <c r="X142" s="99"/>
      <c r="Y142" s="99"/>
      <c r="Z142" s="99"/>
      <c r="AA142" s="99"/>
      <c r="AB142" s="99"/>
      <c r="AC142" s="99"/>
      <c r="AD142" s="99"/>
      <c r="AE142" s="99"/>
      <c r="AF142" s="99"/>
      <c r="AG142" s="99"/>
      <c r="AH142" s="99"/>
      <c r="AI142" s="99"/>
      <c r="AJ142" s="101" t="s">
        <v>64</v>
      </c>
      <c r="AK142" s="40">
        <v>0</v>
      </c>
      <c r="AL142" s="23">
        <v>0</v>
      </c>
      <c r="AM142" s="23">
        <v>0</v>
      </c>
      <c r="AN142" s="23">
        <v>100</v>
      </c>
      <c r="AO142" s="23">
        <v>0</v>
      </c>
      <c r="AP142" s="23">
        <v>0</v>
      </c>
      <c r="AQ142" s="23">
        <v>0</v>
      </c>
      <c r="AR142" s="23">
        <v>0</v>
      </c>
      <c r="AS142" s="23">
        <v>3258</v>
      </c>
      <c r="AT142" s="23">
        <v>0</v>
      </c>
      <c r="AU142" s="23" t="s">
        <v>76</v>
      </c>
      <c r="AW142" s="40">
        <v>1954.8</v>
      </c>
      <c r="AX142" s="39" t="s">
        <v>77</v>
      </c>
      <c r="AY142" s="103"/>
      <c r="AZ142" s="22"/>
      <c r="BA142" s="22"/>
      <c r="BB142" s="22"/>
      <c r="BC142" s="22"/>
      <c r="BD142" s="22"/>
      <c r="BE142" s="22" t="s">
        <v>64</v>
      </c>
      <c r="BF142" s="110" t="s">
        <v>77</v>
      </c>
      <c r="BG142" s="40" t="s">
        <v>63</v>
      </c>
      <c r="BI142" s="103" t="s">
        <v>77</v>
      </c>
      <c r="BJ142" s="110"/>
      <c r="BS142" s="39" t="s">
        <v>77</v>
      </c>
      <c r="BT142" s="40" t="s">
        <v>90</v>
      </c>
      <c r="BV142" s="23" t="s">
        <v>76</v>
      </c>
      <c r="BX142" s="23" t="s">
        <v>77</v>
      </c>
      <c r="BZ142" s="39" t="s">
        <v>77</v>
      </c>
    </row>
    <row r="143" spans="1:78" x14ac:dyDescent="0.25">
      <c r="A143">
        <v>1949</v>
      </c>
      <c r="B143" t="s">
        <v>59</v>
      </c>
      <c r="C143" t="s">
        <v>40</v>
      </c>
      <c r="D143" t="s">
        <v>210</v>
      </c>
      <c r="E143" s="40">
        <v>600000</v>
      </c>
      <c r="F143" s="39">
        <v>520000</v>
      </c>
      <c r="G143">
        <f t="shared" si="2"/>
        <v>520000</v>
      </c>
      <c r="H143" s="5">
        <v>0</v>
      </c>
      <c r="I143" s="2">
        <v>88.692307692307693</v>
      </c>
      <c r="J143" s="2">
        <v>0</v>
      </c>
      <c r="K143" s="2">
        <v>11.307692307692307</v>
      </c>
      <c r="L143" s="2">
        <v>0</v>
      </c>
      <c r="M143" s="2">
        <v>461200</v>
      </c>
      <c r="N143" s="2">
        <v>0</v>
      </c>
      <c r="O143" s="6">
        <v>58799.999999999993</v>
      </c>
      <c r="P143" s="185"/>
      <c r="Q143" s="23">
        <v>25.75</v>
      </c>
      <c r="T143" s="23" t="s">
        <v>64</v>
      </c>
      <c r="U143" s="23" t="s">
        <v>64</v>
      </c>
      <c r="W143" s="98"/>
      <c r="X143" s="99"/>
      <c r="Y143" s="99"/>
      <c r="Z143" s="99"/>
      <c r="AA143" s="99"/>
      <c r="AB143" s="99"/>
      <c r="AC143" s="99"/>
      <c r="AD143" s="99"/>
      <c r="AE143" s="99"/>
      <c r="AF143" s="99"/>
      <c r="AG143" s="99"/>
      <c r="AH143" s="99"/>
      <c r="AI143" s="99"/>
      <c r="AJ143" s="101" t="s">
        <v>63</v>
      </c>
      <c r="AK143" s="98"/>
      <c r="AL143" s="99"/>
      <c r="AM143" s="99"/>
      <c r="AN143" s="99"/>
      <c r="AO143" s="99"/>
      <c r="AP143" s="99"/>
      <c r="AQ143" s="99"/>
      <c r="AR143" s="99"/>
      <c r="AS143" s="99"/>
      <c r="AT143" s="99"/>
      <c r="AU143" s="99" t="s">
        <v>77</v>
      </c>
      <c r="AX143" s="39" t="s">
        <v>77</v>
      </c>
      <c r="AY143" s="103"/>
      <c r="AZ143" s="22"/>
      <c r="BA143" s="22"/>
      <c r="BB143" s="22"/>
      <c r="BC143" s="22"/>
      <c r="BD143" s="22"/>
      <c r="BE143" s="22"/>
      <c r="BF143" s="110" t="s">
        <v>77</v>
      </c>
      <c r="BG143" s="40" t="s">
        <v>77</v>
      </c>
      <c r="BI143" s="103" t="s">
        <v>77</v>
      </c>
      <c r="BJ143" s="110"/>
      <c r="BS143" s="39" t="s">
        <v>77</v>
      </c>
      <c r="BT143" s="40" t="s">
        <v>77</v>
      </c>
      <c r="BV143" s="23" t="s">
        <v>201</v>
      </c>
      <c r="BX143" s="23" t="s">
        <v>77</v>
      </c>
      <c r="BZ143" s="39" t="s">
        <v>77</v>
      </c>
    </row>
    <row r="144" spans="1:78" x14ac:dyDescent="0.25">
      <c r="A144">
        <v>1967</v>
      </c>
      <c r="B144" t="s">
        <v>59</v>
      </c>
      <c r="C144" t="s">
        <v>50</v>
      </c>
      <c r="D144" t="s">
        <v>210</v>
      </c>
      <c r="E144" s="40">
        <v>30000</v>
      </c>
      <c r="F144" s="39">
        <v>95598.26</v>
      </c>
      <c r="G144">
        <f t="shared" si="2"/>
        <v>95598.26</v>
      </c>
      <c r="H144" s="5">
        <v>27.317420241018624</v>
      </c>
      <c r="I144" s="2">
        <v>65.845180245169004</v>
      </c>
      <c r="J144" s="2">
        <v>6.8373995138123744</v>
      </c>
      <c r="K144" s="2">
        <v>0</v>
      </c>
      <c r="L144" s="2">
        <v>26114.978427301608</v>
      </c>
      <c r="M144" s="2">
        <v>62946.846608245301</v>
      </c>
      <c r="N144" s="2">
        <v>6536.4349644530894</v>
      </c>
      <c r="O144" s="6">
        <v>0</v>
      </c>
      <c r="P144" s="185"/>
      <c r="R144" s="23">
        <v>40</v>
      </c>
      <c r="S144" s="23">
        <v>40</v>
      </c>
      <c r="T144" s="23" t="s">
        <v>64</v>
      </c>
      <c r="U144" s="23" t="s">
        <v>64</v>
      </c>
      <c r="W144" s="40">
        <v>0</v>
      </c>
      <c r="X144" s="23">
        <v>29.322115839594172</v>
      </c>
      <c r="Y144" s="23">
        <v>0</v>
      </c>
      <c r="Z144" s="23">
        <v>0</v>
      </c>
      <c r="AA144" s="23">
        <v>0</v>
      </c>
      <c r="AB144" s="23">
        <v>70.677884160405824</v>
      </c>
      <c r="AC144" s="23">
        <v>0</v>
      </c>
      <c r="AD144" s="23">
        <v>7657.4642259384063</v>
      </c>
      <c r="AE144" s="23">
        <v>0</v>
      </c>
      <c r="AF144" s="23">
        <v>0</v>
      </c>
      <c r="AG144" s="23">
        <v>0</v>
      </c>
      <c r="AH144" s="23">
        <v>18457.514201363203</v>
      </c>
      <c r="AJ144" s="101" t="s">
        <v>64</v>
      </c>
      <c r="AK144" s="40">
        <v>0</v>
      </c>
      <c r="AL144" s="23">
        <v>0</v>
      </c>
      <c r="AM144" s="23">
        <v>0</v>
      </c>
      <c r="AN144" s="23">
        <v>100</v>
      </c>
      <c r="AO144" s="23">
        <v>0</v>
      </c>
      <c r="AP144" s="23">
        <v>0</v>
      </c>
      <c r="AQ144" s="23">
        <v>0</v>
      </c>
      <c r="AR144" s="23">
        <v>0</v>
      </c>
      <c r="AS144" s="23">
        <v>6536.4349644530894</v>
      </c>
      <c r="AT144" s="23">
        <v>0</v>
      </c>
      <c r="AU144" s="23" t="s">
        <v>76</v>
      </c>
      <c r="AW144" s="40">
        <v>0</v>
      </c>
      <c r="AX144" s="39" t="s">
        <v>118</v>
      </c>
      <c r="AY144" s="121"/>
      <c r="AZ144" s="25"/>
      <c r="BA144" s="44">
        <v>22.802417056207958</v>
      </c>
      <c r="BB144" s="44">
        <v>197</v>
      </c>
      <c r="BC144" s="22"/>
      <c r="BD144" s="22"/>
      <c r="BE144" s="22"/>
      <c r="BF144" s="110" t="s">
        <v>118</v>
      </c>
      <c r="BG144" s="40" t="s">
        <v>63</v>
      </c>
      <c r="BI144" s="103" t="s">
        <v>89</v>
      </c>
      <c r="BJ144" s="110">
        <v>0</v>
      </c>
      <c r="BR144" s="23" t="s">
        <v>64</v>
      </c>
      <c r="BS144" s="39" t="s">
        <v>65</v>
      </c>
      <c r="BT144" s="40" t="s">
        <v>63</v>
      </c>
      <c r="BV144" s="23" t="s">
        <v>76</v>
      </c>
      <c r="BX144" s="23" t="s">
        <v>77</v>
      </c>
      <c r="BZ144" s="39" t="s">
        <v>77</v>
      </c>
    </row>
    <row r="145" spans="1:78" x14ac:dyDescent="0.25">
      <c r="A145">
        <v>1982</v>
      </c>
      <c r="B145" t="s">
        <v>59</v>
      </c>
      <c r="C145" t="s">
        <v>50</v>
      </c>
      <c r="D145" t="s">
        <v>210</v>
      </c>
      <c r="E145" s="40">
        <v>150000</v>
      </c>
      <c r="F145" s="39">
        <v>296000</v>
      </c>
      <c r="G145">
        <f t="shared" si="2"/>
        <v>296000</v>
      </c>
      <c r="H145" s="5">
        <v>0</v>
      </c>
      <c r="I145" s="2">
        <v>95.270270270270274</v>
      </c>
      <c r="J145" s="2">
        <v>4.7297297297297298</v>
      </c>
      <c r="K145" s="2">
        <v>0</v>
      </c>
      <c r="L145" s="2">
        <v>0</v>
      </c>
      <c r="M145" s="2">
        <v>282000</v>
      </c>
      <c r="N145" s="2">
        <v>14000</v>
      </c>
      <c r="O145" s="6">
        <v>0</v>
      </c>
      <c r="P145" s="185"/>
      <c r="Q145" s="23">
        <v>30</v>
      </c>
      <c r="R145" s="23">
        <v>30</v>
      </c>
      <c r="S145" s="23">
        <v>30</v>
      </c>
      <c r="T145" s="23" t="s">
        <v>64</v>
      </c>
      <c r="U145" s="23" t="s">
        <v>64</v>
      </c>
      <c r="W145" s="98"/>
      <c r="X145" s="99"/>
      <c r="Y145" s="99"/>
      <c r="Z145" s="99"/>
      <c r="AA145" s="99"/>
      <c r="AB145" s="99"/>
      <c r="AC145" s="99"/>
      <c r="AD145" s="99"/>
      <c r="AE145" s="99"/>
      <c r="AF145" s="99"/>
      <c r="AG145" s="99"/>
      <c r="AH145" s="99"/>
      <c r="AI145" s="99"/>
      <c r="AJ145" s="101" t="s">
        <v>64</v>
      </c>
      <c r="AK145" s="40">
        <v>40</v>
      </c>
      <c r="AL145" s="23">
        <v>40</v>
      </c>
      <c r="AM145" s="23">
        <v>10</v>
      </c>
      <c r="AN145" s="23">
        <v>10</v>
      </c>
      <c r="AO145" s="23">
        <v>0</v>
      </c>
      <c r="AP145" s="23">
        <v>5600</v>
      </c>
      <c r="AQ145" s="23">
        <v>5600</v>
      </c>
      <c r="AR145" s="23">
        <v>1400</v>
      </c>
      <c r="AS145" s="23">
        <v>1400</v>
      </c>
      <c r="AT145" s="23">
        <v>0</v>
      </c>
      <c r="AU145" s="23" t="s">
        <v>76</v>
      </c>
      <c r="AW145" s="40">
        <v>14000</v>
      </c>
      <c r="AX145" s="39" t="s">
        <v>76</v>
      </c>
      <c r="AY145" s="103"/>
      <c r="AZ145" s="25"/>
      <c r="BA145" s="25"/>
      <c r="BB145" s="25"/>
      <c r="BC145" s="25"/>
      <c r="BD145" s="25"/>
      <c r="BE145" s="22" t="s">
        <v>64</v>
      </c>
      <c r="BF145" s="110" t="s">
        <v>76</v>
      </c>
      <c r="BG145" s="40" t="s">
        <v>63</v>
      </c>
      <c r="BI145" s="103" t="s">
        <v>77</v>
      </c>
      <c r="BJ145" s="110"/>
      <c r="BS145" s="39" t="s">
        <v>77</v>
      </c>
      <c r="BT145" s="40" t="s">
        <v>77</v>
      </c>
      <c r="BV145" s="23" t="s">
        <v>201</v>
      </c>
      <c r="BX145" s="23" t="s">
        <v>77</v>
      </c>
      <c r="BZ145" s="39" t="s">
        <v>77</v>
      </c>
    </row>
    <row r="146" spans="1:78" x14ac:dyDescent="0.25">
      <c r="A146">
        <v>1985</v>
      </c>
      <c r="B146" t="s">
        <v>58</v>
      </c>
      <c r="C146" t="s">
        <v>50</v>
      </c>
      <c r="D146" t="s">
        <v>210</v>
      </c>
      <c r="E146" s="40">
        <v>65664</v>
      </c>
      <c r="F146" s="39">
        <v>82197</v>
      </c>
      <c r="G146">
        <f t="shared" si="2"/>
        <v>82197.000000000015</v>
      </c>
      <c r="H146" s="5">
        <v>0</v>
      </c>
      <c r="I146" s="2">
        <v>94.5</v>
      </c>
      <c r="J146" s="2">
        <v>4.5</v>
      </c>
      <c r="K146" s="2">
        <v>1</v>
      </c>
      <c r="L146" s="2">
        <v>0</v>
      </c>
      <c r="M146" s="2">
        <v>77676.165000000008</v>
      </c>
      <c r="N146" s="2">
        <v>3698.8650000000002</v>
      </c>
      <c r="O146" s="6">
        <v>821.97</v>
      </c>
      <c r="P146" s="185"/>
      <c r="T146" s="23" t="s">
        <v>89</v>
      </c>
      <c r="U146" s="23" t="s">
        <v>89</v>
      </c>
      <c r="W146" s="98"/>
      <c r="X146" s="99"/>
      <c r="Y146" s="99"/>
      <c r="Z146" s="99"/>
      <c r="AA146" s="99"/>
      <c r="AB146" s="99"/>
      <c r="AC146" s="99"/>
      <c r="AD146" s="99"/>
      <c r="AE146" s="99"/>
      <c r="AF146" s="99"/>
      <c r="AG146" s="99"/>
      <c r="AH146" s="99"/>
      <c r="AI146" s="99"/>
      <c r="AJ146" s="101" t="s">
        <v>64</v>
      </c>
      <c r="AK146" s="40">
        <v>0</v>
      </c>
      <c r="AL146" s="23">
        <v>0</v>
      </c>
      <c r="AM146" s="23">
        <v>0</v>
      </c>
      <c r="AN146" s="23">
        <v>100</v>
      </c>
      <c r="AO146" s="23">
        <v>0</v>
      </c>
      <c r="AP146" s="23">
        <v>0</v>
      </c>
      <c r="AQ146" s="23">
        <v>0</v>
      </c>
      <c r="AR146" s="23">
        <v>0</v>
      </c>
      <c r="AS146" s="23">
        <v>3698.8650000000002</v>
      </c>
      <c r="AT146" s="23">
        <v>0</v>
      </c>
      <c r="AU146" s="23" t="s">
        <v>76</v>
      </c>
      <c r="AX146" s="39" t="s">
        <v>77</v>
      </c>
      <c r="AY146" s="103"/>
      <c r="AZ146" s="22"/>
      <c r="BA146" s="22"/>
      <c r="BB146" s="22"/>
      <c r="BC146" s="22"/>
      <c r="BD146" s="22"/>
      <c r="BE146" s="22" t="s">
        <v>64</v>
      </c>
      <c r="BF146" s="110" t="s">
        <v>76</v>
      </c>
      <c r="BG146" s="40" t="s">
        <v>63</v>
      </c>
      <c r="BI146" s="103" t="s">
        <v>77</v>
      </c>
      <c r="BJ146" s="110"/>
      <c r="BS146" s="39" t="s">
        <v>77</v>
      </c>
      <c r="BT146" s="40" t="s">
        <v>90</v>
      </c>
      <c r="BV146" s="23" t="s">
        <v>76</v>
      </c>
      <c r="BX146" s="23" t="s">
        <v>77</v>
      </c>
      <c r="BZ146" s="39" t="s">
        <v>77</v>
      </c>
    </row>
    <row r="147" spans="1:78" x14ac:dyDescent="0.25">
      <c r="A147">
        <v>1989</v>
      </c>
      <c r="B147" t="s">
        <v>59</v>
      </c>
      <c r="C147" t="s">
        <v>50</v>
      </c>
      <c r="D147" t="s">
        <v>210</v>
      </c>
      <c r="E147" s="40">
        <v>20000</v>
      </c>
      <c r="F147" s="39">
        <v>31900</v>
      </c>
      <c r="G147">
        <f t="shared" si="2"/>
        <v>31900</v>
      </c>
      <c r="H147" s="5">
        <v>0</v>
      </c>
      <c r="I147" s="2">
        <v>91.875</v>
      </c>
      <c r="J147" s="2">
        <v>7.8125</v>
      </c>
      <c r="K147" s="2">
        <v>0</v>
      </c>
      <c r="L147" s="2">
        <v>0</v>
      </c>
      <c r="M147" s="2">
        <v>29400</v>
      </c>
      <c r="N147" s="2">
        <v>2500</v>
      </c>
      <c r="O147" s="6">
        <v>0</v>
      </c>
      <c r="P147" s="185"/>
      <c r="Q147" s="23">
        <v>55</v>
      </c>
      <c r="R147" s="23">
        <v>55</v>
      </c>
      <c r="S147" s="23">
        <v>55</v>
      </c>
      <c r="T147" s="23" t="s">
        <v>64</v>
      </c>
      <c r="U147" s="23" t="s">
        <v>64</v>
      </c>
      <c r="W147" s="98"/>
      <c r="X147" s="99"/>
      <c r="Y147" s="99"/>
      <c r="Z147" s="99"/>
      <c r="AA147" s="99"/>
      <c r="AB147" s="99"/>
      <c r="AC147" s="99"/>
      <c r="AD147" s="99"/>
      <c r="AE147" s="99"/>
      <c r="AF147" s="99"/>
      <c r="AG147" s="99"/>
      <c r="AH147" s="99"/>
      <c r="AI147" s="99"/>
      <c r="AJ147" s="101" t="s">
        <v>64</v>
      </c>
      <c r="AK147" s="40">
        <v>10</v>
      </c>
      <c r="AL147" s="23">
        <v>5</v>
      </c>
      <c r="AM147" s="23">
        <v>2.5</v>
      </c>
      <c r="AN147" s="23">
        <v>80</v>
      </c>
      <c r="AO147" s="23">
        <v>2.5</v>
      </c>
      <c r="AP147" s="23">
        <v>250</v>
      </c>
      <c r="AQ147" s="23">
        <v>125</v>
      </c>
      <c r="AR147" s="23">
        <v>62.5</v>
      </c>
      <c r="AS147" s="23">
        <v>2000</v>
      </c>
      <c r="AT147" s="23">
        <v>62.5</v>
      </c>
      <c r="AU147" s="23" t="s">
        <v>76</v>
      </c>
      <c r="AW147" s="40">
        <v>0.1</v>
      </c>
      <c r="AX147" s="39" t="s">
        <v>77</v>
      </c>
      <c r="AY147" s="103">
        <f>3*7.6</f>
        <v>22.799999999999997</v>
      </c>
      <c r="AZ147" s="22"/>
      <c r="BA147" s="22">
        <f t="shared" ref="BA147:BC147" si="4">3*7.6</f>
        <v>22.799999999999997</v>
      </c>
      <c r="BB147" s="22"/>
      <c r="BC147" s="22">
        <f t="shared" si="4"/>
        <v>22.799999999999997</v>
      </c>
      <c r="BD147" s="22"/>
      <c r="BE147" s="22"/>
      <c r="BF147" s="110" t="s">
        <v>118</v>
      </c>
      <c r="BG147" s="40" t="s">
        <v>158</v>
      </c>
      <c r="BH147" s="39" t="s">
        <v>243</v>
      </c>
      <c r="BI147" s="103" t="s">
        <v>77</v>
      </c>
      <c r="BJ147" s="110">
        <v>0</v>
      </c>
      <c r="BR147" s="23" t="s">
        <v>64</v>
      </c>
      <c r="BS147" s="39" t="s">
        <v>65</v>
      </c>
      <c r="BT147" s="40" t="s">
        <v>174</v>
      </c>
      <c r="BV147" s="23" t="s">
        <v>76</v>
      </c>
      <c r="BX147" s="23" t="s">
        <v>77</v>
      </c>
      <c r="BZ147" s="39" t="s">
        <v>77</v>
      </c>
    </row>
    <row r="148" spans="1:78" x14ac:dyDescent="0.25">
      <c r="A148">
        <v>2001</v>
      </c>
      <c r="B148" t="s">
        <v>58</v>
      </c>
      <c r="C148" t="s">
        <v>51</v>
      </c>
      <c r="D148" t="s">
        <v>213</v>
      </c>
      <c r="E148" s="40"/>
      <c r="F148" s="39">
        <v>100</v>
      </c>
      <c r="H148" s="178"/>
      <c r="I148" s="177"/>
      <c r="J148" s="177"/>
      <c r="K148" s="177"/>
      <c r="L148" s="177"/>
      <c r="M148" s="177"/>
      <c r="N148" s="177"/>
      <c r="O148" s="179"/>
      <c r="P148" s="185"/>
      <c r="T148" s="23" t="s">
        <v>90</v>
      </c>
      <c r="U148" s="23" t="s">
        <v>90</v>
      </c>
      <c r="W148" s="98"/>
      <c r="X148" s="99"/>
      <c r="Y148" s="99"/>
      <c r="Z148" s="99"/>
      <c r="AA148" s="99"/>
      <c r="AB148" s="99"/>
      <c r="AC148" s="99"/>
      <c r="AD148" s="99"/>
      <c r="AE148" s="99"/>
      <c r="AF148" s="99"/>
      <c r="AG148" s="99"/>
      <c r="AH148" s="99"/>
      <c r="AI148" s="99"/>
      <c r="AJ148" s="101" t="s">
        <v>64</v>
      </c>
      <c r="AK148" s="98"/>
      <c r="AL148" s="99"/>
      <c r="AM148" s="99"/>
      <c r="AN148" s="99"/>
      <c r="AO148" s="99"/>
      <c r="AP148" s="99"/>
      <c r="AQ148" s="99"/>
      <c r="AR148" s="99"/>
      <c r="AS148" s="99"/>
      <c r="AT148" s="99"/>
      <c r="AU148" s="99" t="s">
        <v>77</v>
      </c>
      <c r="AX148" s="39" t="s">
        <v>77</v>
      </c>
      <c r="AY148" s="103"/>
      <c r="AZ148" s="22"/>
      <c r="BA148" s="22"/>
      <c r="BB148" s="22"/>
      <c r="BC148" s="22"/>
      <c r="BD148" s="22"/>
      <c r="BE148" s="22"/>
      <c r="BF148" s="110" t="s">
        <v>77</v>
      </c>
      <c r="BG148" s="40" t="s">
        <v>77</v>
      </c>
      <c r="BI148" s="103" t="s">
        <v>77</v>
      </c>
      <c r="BJ148" s="110"/>
      <c r="BS148" s="39" t="s">
        <v>77</v>
      </c>
      <c r="BT148" s="40" t="s">
        <v>77</v>
      </c>
      <c r="BV148" s="23" t="s">
        <v>201</v>
      </c>
      <c r="BX148" s="23" t="s">
        <v>77</v>
      </c>
      <c r="BZ148" s="39" t="s">
        <v>77</v>
      </c>
    </row>
    <row r="149" spans="1:78" x14ac:dyDescent="0.25">
      <c r="A149">
        <v>2002</v>
      </c>
      <c r="B149" t="s">
        <v>58</v>
      </c>
      <c r="C149" t="s">
        <v>16</v>
      </c>
      <c r="D149" t="s">
        <v>210</v>
      </c>
      <c r="E149" s="40">
        <v>17000</v>
      </c>
      <c r="F149" s="39">
        <v>21000</v>
      </c>
      <c r="G149">
        <f t="shared" si="2"/>
        <v>20999.999999999996</v>
      </c>
      <c r="H149" s="5">
        <v>1.1338630098908988</v>
      </c>
      <c r="I149" s="2">
        <v>97.629195524773564</v>
      </c>
      <c r="J149" s="2">
        <v>1.1338630098908988</v>
      </c>
      <c r="K149" s="2">
        <v>0.10307845544462718</v>
      </c>
      <c r="L149" s="2">
        <v>238.11123207708874</v>
      </c>
      <c r="M149" s="2">
        <v>20502.13106020245</v>
      </c>
      <c r="N149" s="2">
        <v>238.11123207708874</v>
      </c>
      <c r="O149" s="6">
        <v>21.646475643371708</v>
      </c>
      <c r="P149" s="185"/>
      <c r="Q149" s="23">
        <v>48</v>
      </c>
      <c r="R149" s="23">
        <v>10</v>
      </c>
      <c r="S149" s="23">
        <v>10</v>
      </c>
      <c r="T149" s="23" t="s">
        <v>89</v>
      </c>
      <c r="U149" s="23" t="s">
        <v>89</v>
      </c>
      <c r="W149" s="40">
        <v>10</v>
      </c>
      <c r="X149" s="23">
        <v>10</v>
      </c>
      <c r="Y149" s="23">
        <v>30</v>
      </c>
      <c r="Z149" s="23">
        <v>5</v>
      </c>
      <c r="AA149" s="23">
        <v>30</v>
      </c>
      <c r="AB149" s="23">
        <v>15</v>
      </c>
      <c r="AC149" s="23">
        <v>23.811123207708874</v>
      </c>
      <c r="AD149" s="23">
        <v>23.811123207708874</v>
      </c>
      <c r="AE149" s="23">
        <v>71.433369623126623</v>
      </c>
      <c r="AF149" s="23">
        <v>11.905561603854437</v>
      </c>
      <c r="AG149" s="23">
        <v>71.433369623126623</v>
      </c>
      <c r="AH149" s="23">
        <v>35.716684811563312</v>
      </c>
      <c r="AJ149" s="101" t="s">
        <v>64</v>
      </c>
      <c r="AK149" s="98"/>
      <c r="AL149" s="99"/>
      <c r="AM149" s="99"/>
      <c r="AN149" s="99"/>
      <c r="AO149" s="99"/>
      <c r="AP149" s="99"/>
      <c r="AQ149" s="99"/>
      <c r="AR149" s="99"/>
      <c r="AS149" s="99"/>
      <c r="AT149" s="99"/>
      <c r="AU149" s="99" t="s">
        <v>77</v>
      </c>
      <c r="AX149" s="39" t="s">
        <v>77</v>
      </c>
      <c r="AY149" s="103"/>
      <c r="AZ149" s="22"/>
      <c r="BA149" s="22"/>
      <c r="BB149" s="22"/>
      <c r="BC149" s="22"/>
      <c r="BD149" s="22"/>
      <c r="BE149" s="22"/>
      <c r="BF149" s="110" t="s">
        <v>77</v>
      </c>
      <c r="BG149" s="40" t="s">
        <v>77</v>
      </c>
      <c r="BI149" s="103" t="s">
        <v>77</v>
      </c>
      <c r="BJ149" s="110"/>
      <c r="BS149" s="39" t="s">
        <v>77</v>
      </c>
      <c r="BT149" s="40" t="s">
        <v>90</v>
      </c>
      <c r="BV149" s="23" t="s">
        <v>76</v>
      </c>
      <c r="BX149" s="23" t="s">
        <v>77</v>
      </c>
      <c r="BZ149" s="39" t="s">
        <v>77</v>
      </c>
    </row>
    <row r="150" spans="1:78" x14ac:dyDescent="0.25">
      <c r="A150">
        <v>2004</v>
      </c>
      <c r="B150" t="s">
        <v>58</v>
      </c>
      <c r="C150" t="s">
        <v>16</v>
      </c>
      <c r="D150" t="s">
        <v>210</v>
      </c>
      <c r="E150" s="40">
        <v>120000</v>
      </c>
      <c r="F150" s="39">
        <v>111000</v>
      </c>
      <c r="H150" s="178"/>
      <c r="I150" s="177"/>
      <c r="J150" s="177"/>
      <c r="K150" s="177"/>
      <c r="L150" s="177"/>
      <c r="M150" s="177"/>
      <c r="N150" s="177"/>
      <c r="O150" s="179"/>
      <c r="P150" s="185"/>
      <c r="T150" s="23" t="s">
        <v>77</v>
      </c>
      <c r="U150" s="23" t="s">
        <v>77</v>
      </c>
      <c r="W150" s="98"/>
      <c r="X150" s="99"/>
      <c r="Y150" s="99"/>
      <c r="Z150" s="99"/>
      <c r="AA150" s="99"/>
      <c r="AB150" s="99"/>
      <c r="AC150" s="99"/>
      <c r="AD150" s="99"/>
      <c r="AE150" s="99"/>
      <c r="AF150" s="99"/>
      <c r="AG150" s="99"/>
      <c r="AH150" s="99"/>
      <c r="AI150" s="99"/>
      <c r="AJ150" s="101" t="s">
        <v>77</v>
      </c>
      <c r="AK150" s="98"/>
      <c r="AL150" s="99"/>
      <c r="AM150" s="99"/>
      <c r="AN150" s="99"/>
      <c r="AO150" s="99"/>
      <c r="AP150" s="99"/>
      <c r="AQ150" s="99"/>
      <c r="AR150" s="99"/>
      <c r="AS150" s="99"/>
      <c r="AT150" s="99"/>
      <c r="AU150" s="99" t="s">
        <v>77</v>
      </c>
      <c r="AX150" s="39" t="s">
        <v>77</v>
      </c>
      <c r="AY150" s="121"/>
      <c r="AZ150" s="25"/>
      <c r="BA150" s="25"/>
      <c r="BB150" s="25"/>
      <c r="BC150" s="25"/>
      <c r="BD150" s="25"/>
      <c r="BE150" s="22"/>
      <c r="BF150" s="110" t="s">
        <v>77</v>
      </c>
      <c r="BG150" s="40" t="s">
        <v>77</v>
      </c>
      <c r="BI150" s="103" t="s">
        <v>77</v>
      </c>
      <c r="BJ150" s="110"/>
      <c r="BS150" s="39" t="s">
        <v>77</v>
      </c>
      <c r="BT150" s="40" t="s">
        <v>77</v>
      </c>
      <c r="BV150" s="23" t="s">
        <v>201</v>
      </c>
      <c r="BX150" s="23" t="s">
        <v>77</v>
      </c>
      <c r="BZ150" s="39" t="s">
        <v>77</v>
      </c>
    </row>
    <row r="151" spans="1:78" x14ac:dyDescent="0.25">
      <c r="A151">
        <v>2009</v>
      </c>
      <c r="B151" t="s">
        <v>59</v>
      </c>
      <c r="C151" t="s">
        <v>16</v>
      </c>
      <c r="D151" t="s">
        <v>210</v>
      </c>
      <c r="E151" s="40">
        <v>50000</v>
      </c>
      <c r="F151" s="39">
        <v>38612</v>
      </c>
      <c r="G151">
        <f t="shared" si="2"/>
        <v>38611.999999999993</v>
      </c>
      <c r="H151" s="5">
        <v>1.3933786645858879</v>
      </c>
      <c r="I151" s="2">
        <v>97.536506521012143</v>
      </c>
      <c r="J151" s="2">
        <v>1.0701148144019619</v>
      </c>
      <c r="K151" s="2">
        <v>0</v>
      </c>
      <c r="L151" s="2">
        <v>538.01136996990306</v>
      </c>
      <c r="M151" s="2">
        <v>37660.795897893207</v>
      </c>
      <c r="N151" s="2">
        <v>413.19273213688552</v>
      </c>
      <c r="O151" s="6">
        <v>0</v>
      </c>
      <c r="P151" s="185"/>
      <c r="Q151" s="23">
        <v>50</v>
      </c>
      <c r="T151" s="23" t="s">
        <v>89</v>
      </c>
      <c r="U151" s="23" t="s">
        <v>90</v>
      </c>
      <c r="V151" s="39" t="s">
        <v>110</v>
      </c>
      <c r="W151" s="98"/>
      <c r="X151" s="99"/>
      <c r="Y151" s="99"/>
      <c r="Z151" s="99"/>
      <c r="AA151" s="99"/>
      <c r="AB151" s="99"/>
      <c r="AC151" s="99"/>
      <c r="AD151" s="99"/>
      <c r="AE151" s="99"/>
      <c r="AF151" s="99"/>
      <c r="AG151" s="99"/>
      <c r="AH151" s="99"/>
      <c r="AI151" s="99"/>
      <c r="AJ151" s="101" t="s">
        <v>64</v>
      </c>
      <c r="AK151" s="40">
        <v>30</v>
      </c>
      <c r="AL151" s="23">
        <v>5</v>
      </c>
      <c r="AM151" s="23">
        <v>30</v>
      </c>
      <c r="AN151" s="23">
        <v>30</v>
      </c>
      <c r="AO151" s="23">
        <v>5</v>
      </c>
      <c r="AP151" s="23">
        <v>123.95781964106565</v>
      </c>
      <c r="AQ151" s="23">
        <v>20.65963660684428</v>
      </c>
      <c r="AR151" s="23">
        <v>123.95781964106565</v>
      </c>
      <c r="AS151" s="23">
        <v>123.95781964106565</v>
      </c>
      <c r="AT151" s="23">
        <v>20.65963660684428</v>
      </c>
      <c r="AU151" s="23" t="s">
        <v>76</v>
      </c>
      <c r="AW151" s="40">
        <v>384</v>
      </c>
      <c r="AX151" s="39" t="s">
        <v>76</v>
      </c>
      <c r="AY151" s="103"/>
      <c r="AZ151" s="22"/>
      <c r="BA151" s="22"/>
      <c r="BB151" s="22"/>
      <c r="BC151" s="22"/>
      <c r="BD151" s="22"/>
      <c r="BE151" s="22" t="s">
        <v>64</v>
      </c>
      <c r="BF151" s="110" t="s">
        <v>76</v>
      </c>
      <c r="BG151" s="40" t="s">
        <v>158</v>
      </c>
      <c r="BH151" s="39" t="s">
        <v>244</v>
      </c>
      <c r="BI151" s="103" t="s">
        <v>77</v>
      </c>
      <c r="BJ151" s="110"/>
      <c r="BR151" s="23" t="s">
        <v>64</v>
      </c>
      <c r="BS151" s="39" t="s">
        <v>76</v>
      </c>
      <c r="BT151" s="40" t="s">
        <v>90</v>
      </c>
      <c r="BV151" s="23" t="s">
        <v>76</v>
      </c>
      <c r="BX151" s="23" t="s">
        <v>77</v>
      </c>
      <c r="BZ151" s="39" t="s">
        <v>77</v>
      </c>
    </row>
    <row r="152" spans="1:78" x14ac:dyDescent="0.25">
      <c r="A152">
        <v>2010</v>
      </c>
      <c r="B152" t="s">
        <v>59</v>
      </c>
      <c r="C152" t="s">
        <v>38</v>
      </c>
      <c r="D152" t="s">
        <v>212</v>
      </c>
      <c r="E152" s="40"/>
      <c r="F152" s="39">
        <v>600000</v>
      </c>
      <c r="H152" s="178"/>
      <c r="I152" s="177"/>
      <c r="J152" s="177"/>
      <c r="K152" s="177"/>
      <c r="L152" s="177"/>
      <c r="M152" s="177"/>
      <c r="N152" s="177"/>
      <c r="O152" s="179"/>
      <c r="P152" s="185"/>
      <c r="Q152" s="23">
        <v>34.58</v>
      </c>
      <c r="T152" s="23" t="s">
        <v>89</v>
      </c>
      <c r="U152" s="23" t="s">
        <v>89</v>
      </c>
      <c r="W152" s="98"/>
      <c r="X152" s="99"/>
      <c r="Y152" s="99"/>
      <c r="Z152" s="99"/>
      <c r="AA152" s="99"/>
      <c r="AB152" s="99"/>
      <c r="AC152" s="99"/>
      <c r="AD152" s="99"/>
      <c r="AE152" s="99"/>
      <c r="AF152" s="99"/>
      <c r="AG152" s="99"/>
      <c r="AH152" s="99"/>
      <c r="AI152" s="99"/>
      <c r="AJ152" s="101" t="s">
        <v>63</v>
      </c>
      <c r="AK152" s="98"/>
      <c r="AL152" s="99"/>
      <c r="AM152" s="99"/>
      <c r="AN152" s="99"/>
      <c r="AO152" s="99"/>
      <c r="AP152" s="99"/>
      <c r="AQ152" s="99"/>
      <c r="AR152" s="99"/>
      <c r="AS152" s="99"/>
      <c r="AT152" s="99"/>
      <c r="AU152" s="99" t="s">
        <v>77</v>
      </c>
      <c r="AX152" s="39" t="s">
        <v>77</v>
      </c>
      <c r="AY152" s="103"/>
      <c r="AZ152" s="22"/>
      <c r="BA152" s="22"/>
      <c r="BB152" s="22"/>
      <c r="BC152" s="22"/>
      <c r="BD152" s="22"/>
      <c r="BE152" s="22" t="s">
        <v>64</v>
      </c>
      <c r="BF152" s="110" t="s">
        <v>76</v>
      </c>
      <c r="BG152" s="40" t="s">
        <v>63</v>
      </c>
      <c r="BI152" s="103" t="s">
        <v>77</v>
      </c>
      <c r="BJ152" s="110"/>
      <c r="BR152" s="23" t="s">
        <v>64</v>
      </c>
      <c r="BS152" s="39" t="s">
        <v>65</v>
      </c>
      <c r="BT152" s="40" t="s">
        <v>90</v>
      </c>
      <c r="BV152" s="23" t="s">
        <v>76</v>
      </c>
      <c r="BX152" s="23" t="s">
        <v>77</v>
      </c>
      <c r="BZ152" s="39" t="s">
        <v>77</v>
      </c>
    </row>
    <row r="153" spans="1:78" x14ac:dyDescent="0.25">
      <c r="A153">
        <v>2011</v>
      </c>
      <c r="B153" t="s">
        <v>58</v>
      </c>
      <c r="C153" t="s">
        <v>42</v>
      </c>
      <c r="D153" t="s">
        <v>212</v>
      </c>
      <c r="E153" s="40">
        <v>30000</v>
      </c>
      <c r="F153" s="39">
        <v>59248.94</v>
      </c>
      <c r="G153">
        <f t="shared" si="2"/>
        <v>59248.94</v>
      </c>
      <c r="H153" s="5">
        <v>0</v>
      </c>
      <c r="I153" s="2">
        <v>98.957285078785247</v>
      </c>
      <c r="J153" s="2">
        <v>1.0427149212147446</v>
      </c>
      <c r="K153" s="2">
        <v>0</v>
      </c>
      <c r="L153" s="2">
        <v>0</v>
      </c>
      <c r="M153" s="2">
        <v>58631.142461958429</v>
      </c>
      <c r="N153" s="2">
        <v>617.79753804157133</v>
      </c>
      <c r="O153" s="6">
        <v>0</v>
      </c>
      <c r="P153" s="185"/>
      <c r="Q153" s="23">
        <v>82.8</v>
      </c>
      <c r="R153" s="23">
        <v>57.9</v>
      </c>
      <c r="T153" s="23" t="s">
        <v>89</v>
      </c>
      <c r="U153" s="23" t="s">
        <v>89</v>
      </c>
      <c r="W153" s="98"/>
      <c r="X153" s="99"/>
      <c r="Y153" s="99"/>
      <c r="Z153" s="99"/>
      <c r="AA153" s="99"/>
      <c r="AB153" s="99"/>
      <c r="AC153" s="99"/>
      <c r="AD153" s="99"/>
      <c r="AE153" s="99"/>
      <c r="AF153" s="99"/>
      <c r="AG153" s="99"/>
      <c r="AH153" s="99"/>
      <c r="AI153" s="99"/>
      <c r="AJ153" s="101" t="s">
        <v>64</v>
      </c>
      <c r="AK153" s="40">
        <v>0</v>
      </c>
      <c r="AL153" s="23">
        <v>0</v>
      </c>
      <c r="AM153" s="23">
        <v>0</v>
      </c>
      <c r="AN153" s="23">
        <v>100</v>
      </c>
      <c r="AO153" s="23">
        <v>0</v>
      </c>
      <c r="AP153" s="23">
        <v>0</v>
      </c>
      <c r="AQ153" s="23">
        <v>0</v>
      </c>
      <c r="AR153" s="23">
        <v>0</v>
      </c>
      <c r="AS153" s="23">
        <v>617.79753804157133</v>
      </c>
      <c r="AT153" s="23">
        <v>0</v>
      </c>
      <c r="AU153" s="23" t="s">
        <v>76</v>
      </c>
      <c r="AW153" s="40">
        <v>0</v>
      </c>
      <c r="AX153" s="39" t="s">
        <v>118</v>
      </c>
      <c r="AY153" s="103"/>
      <c r="AZ153" s="22"/>
      <c r="BA153" s="22"/>
      <c r="BB153" s="22"/>
      <c r="BC153" s="22"/>
      <c r="BD153" s="22"/>
      <c r="BE153" s="22"/>
      <c r="BF153" s="110" t="s">
        <v>77</v>
      </c>
      <c r="BG153" s="40" t="s">
        <v>63</v>
      </c>
      <c r="BI153" s="103" t="s">
        <v>77</v>
      </c>
      <c r="BJ153" s="110"/>
      <c r="BS153" s="39" t="s">
        <v>77</v>
      </c>
      <c r="BT153" s="40" t="s">
        <v>77</v>
      </c>
      <c r="BV153" s="23" t="s">
        <v>201</v>
      </c>
      <c r="BX153" s="23" t="s">
        <v>77</v>
      </c>
      <c r="BZ153" s="39" t="s">
        <v>77</v>
      </c>
    </row>
    <row r="154" spans="1:78" x14ac:dyDescent="0.25">
      <c r="A154">
        <v>2012</v>
      </c>
      <c r="B154" t="s">
        <v>58</v>
      </c>
      <c r="C154" t="s">
        <v>52</v>
      </c>
      <c r="D154" t="s">
        <v>213</v>
      </c>
      <c r="E154" s="40">
        <v>1000000</v>
      </c>
      <c r="F154" s="39">
        <v>300000</v>
      </c>
      <c r="G154">
        <f t="shared" si="2"/>
        <v>300000</v>
      </c>
      <c r="H154" s="5">
        <v>0</v>
      </c>
      <c r="I154" s="2">
        <v>100</v>
      </c>
      <c r="J154" s="2">
        <v>0</v>
      </c>
      <c r="K154" s="2">
        <v>0</v>
      </c>
      <c r="L154" s="2">
        <v>0</v>
      </c>
      <c r="M154" s="2">
        <v>300000</v>
      </c>
      <c r="N154" s="2">
        <v>0</v>
      </c>
      <c r="O154" s="6">
        <v>0</v>
      </c>
      <c r="P154" s="185"/>
      <c r="Q154" s="23">
        <v>100</v>
      </c>
      <c r="T154" s="23" t="s">
        <v>89</v>
      </c>
      <c r="U154" s="23" t="s">
        <v>89</v>
      </c>
      <c r="W154" s="98"/>
      <c r="X154" s="99"/>
      <c r="Y154" s="99"/>
      <c r="Z154" s="99"/>
      <c r="AA154" s="99"/>
      <c r="AB154" s="99"/>
      <c r="AC154" s="99"/>
      <c r="AD154" s="99"/>
      <c r="AE154" s="99"/>
      <c r="AF154" s="99"/>
      <c r="AG154" s="99"/>
      <c r="AH154" s="99"/>
      <c r="AI154" s="99"/>
      <c r="AJ154" s="101" t="s">
        <v>63</v>
      </c>
      <c r="AK154" s="98"/>
      <c r="AL154" s="99"/>
      <c r="AM154" s="99"/>
      <c r="AN154" s="99"/>
      <c r="AO154" s="99"/>
      <c r="AP154" s="99"/>
      <c r="AQ154" s="99"/>
      <c r="AR154" s="99"/>
      <c r="AS154" s="99"/>
      <c r="AT154" s="99"/>
      <c r="AU154" s="99" t="s">
        <v>77</v>
      </c>
      <c r="AX154" s="39" t="s">
        <v>77</v>
      </c>
      <c r="AY154" s="103"/>
      <c r="AZ154" s="22"/>
      <c r="BA154" s="22"/>
      <c r="BB154" s="22"/>
      <c r="BC154" s="22"/>
      <c r="BD154" s="22"/>
      <c r="BE154" s="22"/>
      <c r="BF154" s="110" t="s">
        <v>77</v>
      </c>
      <c r="BG154" s="40" t="s">
        <v>77</v>
      </c>
      <c r="BI154" s="103" t="s">
        <v>77</v>
      </c>
      <c r="BJ154" s="110"/>
      <c r="BS154" s="39" t="s">
        <v>77</v>
      </c>
      <c r="BT154" s="40" t="s">
        <v>90</v>
      </c>
      <c r="BV154" s="23" t="s">
        <v>76</v>
      </c>
      <c r="BX154" s="23" t="s">
        <v>77</v>
      </c>
      <c r="BZ154" s="39" t="s">
        <v>77</v>
      </c>
    </row>
    <row r="155" spans="1:78" x14ac:dyDescent="0.25">
      <c r="A155">
        <v>2014</v>
      </c>
      <c r="B155" t="s">
        <v>59</v>
      </c>
      <c r="C155" t="s">
        <v>45</v>
      </c>
      <c r="D155" t="s">
        <v>211</v>
      </c>
      <c r="E155" s="40">
        <v>29000</v>
      </c>
      <c r="F155" s="39">
        <v>21209</v>
      </c>
      <c r="G155">
        <f t="shared" si="2"/>
        <v>21208.999999999996</v>
      </c>
      <c r="H155" s="5">
        <v>17.954641897307745</v>
      </c>
      <c r="I155" s="2">
        <v>74.817294544768714</v>
      </c>
      <c r="J155" s="2">
        <v>0</v>
      </c>
      <c r="K155" s="2">
        <v>7.2280635579235222</v>
      </c>
      <c r="L155" s="2">
        <f>(H155*$F155)*0.01</f>
        <v>3807.9999999999995</v>
      </c>
      <c r="M155" s="2">
        <f t="shared" ref="M155:O155" si="5">(I155*$F155)*0.01</f>
        <v>15867.999999999998</v>
      </c>
      <c r="N155" s="2">
        <f t="shared" si="5"/>
        <v>0</v>
      </c>
      <c r="O155" s="6">
        <f t="shared" si="5"/>
        <v>1532.9999999999998</v>
      </c>
      <c r="P155" s="185"/>
      <c r="Q155" s="23">
        <v>60</v>
      </c>
      <c r="T155" s="23" t="s">
        <v>89</v>
      </c>
      <c r="U155" s="23" t="s">
        <v>89</v>
      </c>
      <c r="W155" s="40">
        <v>10</v>
      </c>
      <c r="X155" s="23">
        <v>0</v>
      </c>
      <c r="Y155" s="23">
        <v>75</v>
      </c>
      <c r="Z155" s="23">
        <v>5</v>
      </c>
      <c r="AA155" s="23">
        <v>0</v>
      </c>
      <c r="AB155" s="23">
        <v>10</v>
      </c>
      <c r="AC155" s="23">
        <v>380.8</v>
      </c>
      <c r="AD155" s="23">
        <v>0</v>
      </c>
      <c r="AE155" s="23">
        <v>2856</v>
      </c>
      <c r="AF155" s="23">
        <v>190.4</v>
      </c>
      <c r="AG155" s="23">
        <v>0</v>
      </c>
      <c r="AH155" s="23">
        <v>380.8</v>
      </c>
      <c r="AJ155" s="101" t="s">
        <v>63</v>
      </c>
      <c r="AK155" s="98"/>
      <c r="AL155" s="99"/>
      <c r="AM155" s="99"/>
      <c r="AN155" s="99"/>
      <c r="AO155" s="99"/>
      <c r="AP155" s="99"/>
      <c r="AQ155" s="99"/>
      <c r="AR155" s="99"/>
      <c r="AS155" s="99"/>
      <c r="AT155" s="99"/>
      <c r="AU155" s="99" t="s">
        <v>77</v>
      </c>
      <c r="AX155" s="39" t="s">
        <v>77</v>
      </c>
      <c r="AY155" s="103"/>
      <c r="AZ155" s="22"/>
      <c r="BA155" s="22"/>
      <c r="BB155" s="22"/>
      <c r="BC155" s="22"/>
      <c r="BD155" s="22"/>
      <c r="BE155" s="22"/>
      <c r="BF155" s="110" t="s">
        <v>77</v>
      </c>
      <c r="BG155" s="40" t="s">
        <v>77</v>
      </c>
      <c r="BI155" s="103" t="s">
        <v>77</v>
      </c>
      <c r="BJ155" s="110"/>
      <c r="BS155" s="39" t="s">
        <v>77</v>
      </c>
      <c r="BT155" s="40" t="s">
        <v>90</v>
      </c>
      <c r="BV155" s="23" t="s">
        <v>76</v>
      </c>
      <c r="BX155" s="23" t="s">
        <v>77</v>
      </c>
      <c r="BZ155" s="39" t="s">
        <v>77</v>
      </c>
    </row>
    <row r="156" spans="1:78" x14ac:dyDescent="0.25">
      <c r="A156">
        <v>2031</v>
      </c>
      <c r="B156" t="s">
        <v>59</v>
      </c>
      <c r="C156" t="s">
        <v>13</v>
      </c>
      <c r="D156" t="s">
        <v>210</v>
      </c>
      <c r="E156" s="40"/>
      <c r="F156" s="39">
        <v>316000</v>
      </c>
      <c r="H156" s="178"/>
      <c r="I156" s="177"/>
      <c r="J156" s="177"/>
      <c r="K156" s="177"/>
      <c r="L156" s="177"/>
      <c r="M156" s="177"/>
      <c r="N156" s="177"/>
      <c r="O156" s="179"/>
      <c r="P156" s="185"/>
      <c r="Q156" s="23">
        <v>45</v>
      </c>
      <c r="T156" s="23" t="s">
        <v>89</v>
      </c>
      <c r="U156" s="23" t="s">
        <v>89</v>
      </c>
      <c r="W156" s="98"/>
      <c r="X156" s="99"/>
      <c r="Y156" s="99"/>
      <c r="Z156" s="99"/>
      <c r="AA156" s="99"/>
      <c r="AB156" s="99"/>
      <c r="AC156" s="99"/>
      <c r="AD156" s="99"/>
      <c r="AE156" s="99"/>
      <c r="AF156" s="99"/>
      <c r="AG156" s="99"/>
      <c r="AH156" s="99"/>
      <c r="AI156" s="99"/>
      <c r="AJ156" s="101" t="s">
        <v>63</v>
      </c>
      <c r="AK156" s="98"/>
      <c r="AL156" s="99"/>
      <c r="AM156" s="99"/>
      <c r="AN156" s="99"/>
      <c r="AO156" s="99"/>
      <c r="AP156" s="99"/>
      <c r="AQ156" s="99"/>
      <c r="AR156" s="99"/>
      <c r="AS156" s="99"/>
      <c r="AT156" s="99"/>
      <c r="AU156" s="99" t="s">
        <v>77</v>
      </c>
      <c r="AX156" s="39" t="s">
        <v>77</v>
      </c>
      <c r="AY156" s="103"/>
      <c r="AZ156" s="22"/>
      <c r="BA156" s="22"/>
      <c r="BB156" s="22"/>
      <c r="BC156" s="22"/>
      <c r="BD156" s="22"/>
      <c r="BE156" s="22"/>
      <c r="BF156" s="110" t="s">
        <v>77</v>
      </c>
      <c r="BG156" s="40" t="s">
        <v>77</v>
      </c>
      <c r="BI156" s="103" t="s">
        <v>77</v>
      </c>
      <c r="BJ156" s="110"/>
      <c r="BS156" s="39" t="s">
        <v>77</v>
      </c>
      <c r="BT156" s="40" t="s">
        <v>63</v>
      </c>
      <c r="BV156" s="23" t="s">
        <v>76</v>
      </c>
      <c r="BX156" s="23" t="s">
        <v>77</v>
      </c>
      <c r="BZ156" s="39" t="s">
        <v>77</v>
      </c>
    </row>
    <row r="157" spans="1:78" x14ac:dyDescent="0.25">
      <c r="A157">
        <v>2049</v>
      </c>
      <c r="B157" t="s">
        <v>58</v>
      </c>
      <c r="C157" t="s">
        <v>21</v>
      </c>
      <c r="D157" t="s">
        <v>210</v>
      </c>
      <c r="E157" s="40">
        <v>130000</v>
      </c>
      <c r="F157" s="39">
        <v>90000</v>
      </c>
      <c r="H157" s="178"/>
      <c r="I157" s="177"/>
      <c r="J157" s="177"/>
      <c r="K157" s="177"/>
      <c r="L157" s="177"/>
      <c r="M157" s="177"/>
      <c r="N157" s="177"/>
      <c r="O157" s="179"/>
      <c r="P157" s="185"/>
      <c r="T157" s="23" t="s">
        <v>77</v>
      </c>
      <c r="U157" s="23" t="s">
        <v>77</v>
      </c>
      <c r="W157" s="98"/>
      <c r="X157" s="99"/>
      <c r="Y157" s="99"/>
      <c r="Z157" s="99"/>
      <c r="AA157" s="99"/>
      <c r="AB157" s="99"/>
      <c r="AC157" s="99"/>
      <c r="AD157" s="99"/>
      <c r="AE157" s="99"/>
      <c r="AF157" s="99"/>
      <c r="AG157" s="99"/>
      <c r="AH157" s="99"/>
      <c r="AI157" s="99"/>
      <c r="AJ157" s="101" t="s">
        <v>77</v>
      </c>
      <c r="AK157" s="98"/>
      <c r="AL157" s="99"/>
      <c r="AM157" s="99"/>
      <c r="AN157" s="99"/>
      <c r="AO157" s="99"/>
      <c r="AP157" s="99"/>
      <c r="AQ157" s="99"/>
      <c r="AR157" s="99"/>
      <c r="AS157" s="99"/>
      <c r="AT157" s="99"/>
      <c r="AU157" s="99" t="s">
        <v>77</v>
      </c>
      <c r="AV157" s="39" t="s">
        <v>64</v>
      </c>
      <c r="AX157" s="39" t="s">
        <v>77</v>
      </c>
      <c r="AY157" s="103"/>
      <c r="AZ157" s="22"/>
      <c r="BA157" s="22"/>
      <c r="BB157" s="22"/>
      <c r="BC157" s="22"/>
      <c r="BD157" s="22"/>
      <c r="BE157" s="22"/>
      <c r="BF157" s="110" t="s">
        <v>77</v>
      </c>
      <c r="BG157" s="40" t="s">
        <v>77</v>
      </c>
      <c r="BI157" s="103" t="s">
        <v>77</v>
      </c>
      <c r="BJ157" s="110"/>
      <c r="BS157" s="39" t="s">
        <v>77</v>
      </c>
      <c r="BT157" s="40" t="s">
        <v>77</v>
      </c>
      <c r="BV157" s="23" t="s">
        <v>201</v>
      </c>
      <c r="BX157" s="23" t="s">
        <v>77</v>
      </c>
      <c r="BZ157" s="39" t="s">
        <v>77</v>
      </c>
    </row>
    <row r="158" spans="1:78" x14ac:dyDescent="0.25">
      <c r="A158">
        <v>2064</v>
      </c>
      <c r="B158" t="s">
        <v>59</v>
      </c>
      <c r="C158" t="s">
        <v>31</v>
      </c>
      <c r="D158" t="s">
        <v>213</v>
      </c>
      <c r="E158" s="40">
        <v>450226</v>
      </c>
      <c r="F158" s="39">
        <v>324068.94</v>
      </c>
      <c r="G158">
        <f t="shared" si="2"/>
        <v>324068.93999999994</v>
      </c>
      <c r="H158" s="5">
        <v>0</v>
      </c>
      <c r="I158" s="2">
        <v>99.704390409398613</v>
      </c>
      <c r="J158" s="2">
        <v>0.20307344288793241</v>
      </c>
      <c r="K158" s="2">
        <v>9.2536147713444275E-2</v>
      </c>
      <c r="L158" s="2">
        <v>0</v>
      </c>
      <c r="M158" s="2">
        <v>323110.96113319974</v>
      </c>
      <c r="N158" s="2">
        <v>658.09795378842796</v>
      </c>
      <c r="O158" s="6">
        <v>299.8809130117931</v>
      </c>
      <c r="P158" s="185"/>
      <c r="Q158" s="23">
        <v>79.180000000000007</v>
      </c>
      <c r="R158" s="23">
        <v>25</v>
      </c>
      <c r="S158" s="23">
        <v>0</v>
      </c>
      <c r="T158" s="23" t="s">
        <v>63</v>
      </c>
      <c r="U158" s="23" t="s">
        <v>63</v>
      </c>
      <c r="W158" s="98"/>
      <c r="X158" s="99"/>
      <c r="Y158" s="99"/>
      <c r="Z158" s="99"/>
      <c r="AA158" s="99"/>
      <c r="AB158" s="99"/>
      <c r="AC158" s="99"/>
      <c r="AD158" s="99"/>
      <c r="AE158" s="99"/>
      <c r="AF158" s="99"/>
      <c r="AG158" s="99"/>
      <c r="AH158" s="99"/>
      <c r="AI158" s="99"/>
      <c r="AJ158" s="101" t="s">
        <v>64</v>
      </c>
      <c r="AU158" s="23" t="s">
        <v>137</v>
      </c>
      <c r="AW158" s="40">
        <v>2816.88</v>
      </c>
      <c r="AX158" s="39" t="s">
        <v>76</v>
      </c>
      <c r="AY158" s="103"/>
      <c r="AZ158" s="22"/>
      <c r="BA158" s="22"/>
      <c r="BB158" s="22"/>
      <c r="BC158" s="22"/>
      <c r="BD158" s="22"/>
      <c r="BE158" s="22" t="s">
        <v>64</v>
      </c>
      <c r="BF158" s="110" t="s">
        <v>76</v>
      </c>
      <c r="BG158" s="40" t="s">
        <v>77</v>
      </c>
      <c r="BI158" s="103" t="s">
        <v>77</v>
      </c>
      <c r="BJ158" s="110"/>
      <c r="BS158" s="39" t="s">
        <v>77</v>
      </c>
      <c r="BT158" s="40" t="s">
        <v>63</v>
      </c>
      <c r="BV158" s="23" t="s">
        <v>76</v>
      </c>
      <c r="BX158" s="23" t="s">
        <v>77</v>
      </c>
      <c r="BZ158" s="39" t="s">
        <v>77</v>
      </c>
    </row>
    <row r="159" spans="1:78" x14ac:dyDescent="0.25">
      <c r="A159">
        <v>2073</v>
      </c>
      <c r="B159" t="s">
        <v>58</v>
      </c>
      <c r="C159" t="s">
        <v>34</v>
      </c>
      <c r="D159" t="s">
        <v>210</v>
      </c>
      <c r="E159" s="40">
        <v>34500</v>
      </c>
      <c r="F159" s="39">
        <v>42000</v>
      </c>
      <c r="G159">
        <f t="shared" si="2"/>
        <v>42000</v>
      </c>
      <c r="H159" s="5">
        <v>0</v>
      </c>
      <c r="I159" s="2">
        <v>80</v>
      </c>
      <c r="J159" s="2">
        <v>5</v>
      </c>
      <c r="K159" s="2">
        <v>15</v>
      </c>
      <c r="L159" s="2">
        <v>0</v>
      </c>
      <c r="M159" s="2">
        <v>33600</v>
      </c>
      <c r="N159" s="2">
        <v>2100</v>
      </c>
      <c r="O159" s="6">
        <v>6300</v>
      </c>
      <c r="P159" s="185"/>
      <c r="Q159" s="23">
        <v>66</v>
      </c>
      <c r="R159" s="23">
        <v>30</v>
      </c>
      <c r="S159" s="23">
        <v>30</v>
      </c>
      <c r="T159" s="23" t="s">
        <v>89</v>
      </c>
      <c r="U159" s="23" t="s">
        <v>90</v>
      </c>
      <c r="V159" s="39" t="s">
        <v>111</v>
      </c>
      <c r="W159" s="98"/>
      <c r="X159" s="99"/>
      <c r="Y159" s="99"/>
      <c r="Z159" s="99"/>
      <c r="AA159" s="99"/>
      <c r="AB159" s="99"/>
      <c r="AC159" s="99"/>
      <c r="AD159" s="99"/>
      <c r="AE159" s="99"/>
      <c r="AF159" s="99"/>
      <c r="AG159" s="99"/>
      <c r="AH159" s="99"/>
      <c r="AI159" s="99"/>
      <c r="AJ159" s="101" t="s">
        <v>64</v>
      </c>
      <c r="AK159" s="40">
        <v>10</v>
      </c>
      <c r="AL159" s="23">
        <v>5</v>
      </c>
      <c r="AM159" s="23">
        <v>5</v>
      </c>
      <c r="AN159" s="23">
        <v>80</v>
      </c>
      <c r="AO159" s="23">
        <v>0</v>
      </c>
      <c r="AP159" s="23">
        <v>210</v>
      </c>
      <c r="AQ159" s="23">
        <v>105</v>
      </c>
      <c r="AR159" s="23">
        <v>105</v>
      </c>
      <c r="AS159" s="23">
        <v>1680</v>
      </c>
      <c r="AT159" s="23">
        <v>0</v>
      </c>
      <c r="AU159" s="23" t="s">
        <v>76</v>
      </c>
      <c r="AW159" s="40">
        <v>2000</v>
      </c>
      <c r="AX159" s="39" t="s">
        <v>76</v>
      </c>
      <c r="AY159" s="103"/>
      <c r="AZ159" s="22"/>
      <c r="BA159" s="22"/>
      <c r="BB159" s="22"/>
      <c r="BC159" s="22"/>
      <c r="BD159" s="22"/>
      <c r="BE159" s="22"/>
      <c r="BF159" s="110" t="s">
        <v>77</v>
      </c>
      <c r="BG159" s="40" t="s">
        <v>90</v>
      </c>
      <c r="BI159" s="103" t="s">
        <v>77</v>
      </c>
      <c r="BJ159" s="110"/>
      <c r="BS159" s="39" t="s">
        <v>77</v>
      </c>
      <c r="BT159" s="40" t="s">
        <v>90</v>
      </c>
      <c r="BV159" s="23" t="s">
        <v>76</v>
      </c>
      <c r="BX159" s="23" t="s">
        <v>77</v>
      </c>
      <c r="BZ159" s="39" t="s">
        <v>77</v>
      </c>
    </row>
    <row r="160" spans="1:78" x14ac:dyDescent="0.25">
      <c r="A160">
        <v>2076</v>
      </c>
      <c r="B160" t="s">
        <v>58</v>
      </c>
      <c r="C160" t="s">
        <v>34</v>
      </c>
      <c r="D160" t="s">
        <v>210</v>
      </c>
      <c r="E160" s="40">
        <v>1000000</v>
      </c>
      <c r="F160" s="39">
        <v>436632</v>
      </c>
      <c r="G160">
        <f t="shared" si="2"/>
        <v>436632</v>
      </c>
      <c r="H160" s="5">
        <v>4</v>
      </c>
      <c r="I160" s="2">
        <v>96</v>
      </c>
      <c r="J160" s="2">
        <v>0</v>
      </c>
      <c r="K160" s="2">
        <v>0</v>
      </c>
      <c r="L160" s="2">
        <v>17465.28</v>
      </c>
      <c r="M160" s="2">
        <v>419166.72000000003</v>
      </c>
      <c r="N160" s="2">
        <v>0</v>
      </c>
      <c r="O160" s="6">
        <v>0</v>
      </c>
      <c r="P160" s="185"/>
      <c r="Q160" s="23">
        <v>32</v>
      </c>
      <c r="T160" s="23" t="s">
        <v>89</v>
      </c>
      <c r="U160" s="23" t="s">
        <v>90</v>
      </c>
      <c r="V160" s="39" t="s">
        <v>112</v>
      </c>
      <c r="W160" s="40">
        <v>0</v>
      </c>
      <c r="X160" s="23">
        <v>0</v>
      </c>
      <c r="Y160" s="23">
        <v>50</v>
      </c>
      <c r="Z160" s="23">
        <v>0</v>
      </c>
      <c r="AA160" s="23">
        <v>0</v>
      </c>
      <c r="AB160" s="23">
        <v>50</v>
      </c>
      <c r="AC160" s="23">
        <v>0</v>
      </c>
      <c r="AD160" s="23">
        <v>0</v>
      </c>
      <c r="AE160" s="23">
        <v>8732.64</v>
      </c>
      <c r="AF160" s="23">
        <v>0</v>
      </c>
      <c r="AG160" s="23">
        <v>0</v>
      </c>
      <c r="AH160" s="23">
        <v>8732.64</v>
      </c>
      <c r="AJ160" s="101" t="s">
        <v>63</v>
      </c>
      <c r="AK160" s="98"/>
      <c r="AL160" s="99"/>
      <c r="AM160" s="99"/>
      <c r="AN160" s="99"/>
      <c r="AO160" s="99"/>
      <c r="AP160" s="99"/>
      <c r="AQ160" s="99"/>
      <c r="AR160" s="99"/>
      <c r="AS160" s="99"/>
      <c r="AT160" s="99"/>
      <c r="AU160" s="99" t="s">
        <v>77</v>
      </c>
      <c r="AX160" s="39" t="s">
        <v>77</v>
      </c>
      <c r="AY160" s="103"/>
      <c r="AZ160" s="22"/>
      <c r="BA160" s="22"/>
      <c r="BB160" s="22"/>
      <c r="BC160" s="22"/>
      <c r="BD160" s="22"/>
      <c r="BE160" s="22"/>
      <c r="BF160" s="110" t="s">
        <v>77</v>
      </c>
      <c r="BG160" s="40" t="s">
        <v>77</v>
      </c>
      <c r="BI160" s="103" t="s">
        <v>77</v>
      </c>
      <c r="BJ160" s="110"/>
      <c r="BS160" s="39" t="s">
        <v>77</v>
      </c>
      <c r="BT160" s="40" t="s">
        <v>77</v>
      </c>
      <c r="BV160" s="23" t="s">
        <v>201</v>
      </c>
      <c r="BX160" s="23" t="s">
        <v>77</v>
      </c>
      <c r="BZ160" s="39" t="s">
        <v>77</v>
      </c>
    </row>
    <row r="161" spans="1:78" x14ac:dyDescent="0.25">
      <c r="A161">
        <v>2077</v>
      </c>
      <c r="B161" t="s">
        <v>58</v>
      </c>
      <c r="C161" t="s">
        <v>34</v>
      </c>
      <c r="D161" t="s">
        <v>210</v>
      </c>
      <c r="E161" s="40">
        <v>67000</v>
      </c>
      <c r="F161" s="39">
        <v>50000</v>
      </c>
      <c r="G161">
        <f t="shared" si="2"/>
        <v>50000</v>
      </c>
      <c r="H161" s="5">
        <v>5</v>
      </c>
      <c r="I161" s="2">
        <v>95</v>
      </c>
      <c r="J161" s="2">
        <v>0</v>
      </c>
      <c r="K161" s="2">
        <v>0</v>
      </c>
      <c r="L161" s="2">
        <v>2500</v>
      </c>
      <c r="M161" s="2">
        <v>47500</v>
      </c>
      <c r="N161" s="2">
        <v>0</v>
      </c>
      <c r="O161" s="6">
        <v>0</v>
      </c>
      <c r="P161" s="185"/>
      <c r="Q161" s="23">
        <v>41</v>
      </c>
      <c r="R161" s="23">
        <v>41</v>
      </c>
      <c r="S161" s="23">
        <v>41</v>
      </c>
      <c r="T161" s="23" t="s">
        <v>64</v>
      </c>
      <c r="U161" s="23" t="s">
        <v>63</v>
      </c>
      <c r="W161" s="40">
        <v>16.666666666666664</v>
      </c>
      <c r="X161" s="23">
        <v>16.666666666666664</v>
      </c>
      <c r="Y161" s="23">
        <v>16.666666666666664</v>
      </c>
      <c r="Z161" s="23">
        <v>16.666666666666664</v>
      </c>
      <c r="AA161" s="23">
        <v>16.666666666666664</v>
      </c>
      <c r="AB161" s="23">
        <v>16.666666666666664</v>
      </c>
      <c r="AC161" s="23">
        <v>416.66666666666663</v>
      </c>
      <c r="AD161" s="23">
        <v>416.66666666666663</v>
      </c>
      <c r="AE161" s="23">
        <v>416.66666666666663</v>
      </c>
      <c r="AF161" s="23">
        <v>416.66666666666663</v>
      </c>
      <c r="AG161" s="23">
        <v>416.66666666666663</v>
      </c>
      <c r="AH161" s="23">
        <v>416.66666666666663</v>
      </c>
      <c r="AJ161" s="101" t="s">
        <v>64</v>
      </c>
      <c r="AK161" s="98"/>
      <c r="AL161" s="99"/>
      <c r="AM161" s="99"/>
      <c r="AN161" s="99"/>
      <c r="AO161" s="99"/>
      <c r="AP161" s="99"/>
      <c r="AQ161" s="99"/>
      <c r="AR161" s="99"/>
      <c r="AS161" s="99"/>
      <c r="AT161" s="99"/>
      <c r="AU161" s="99" t="s">
        <v>77</v>
      </c>
      <c r="AV161" s="39" t="s">
        <v>64</v>
      </c>
      <c r="AW161" s="40">
        <v>0</v>
      </c>
      <c r="AX161" s="39" t="s">
        <v>118</v>
      </c>
      <c r="AY161" s="103"/>
      <c r="AZ161" s="22"/>
      <c r="BA161" s="22"/>
      <c r="BB161" s="22"/>
      <c r="BC161" s="22"/>
      <c r="BD161" s="22"/>
      <c r="BE161" s="22"/>
      <c r="BF161" s="110" t="s">
        <v>77</v>
      </c>
      <c r="BG161" s="40" t="s">
        <v>158</v>
      </c>
      <c r="BH161" s="39" t="s">
        <v>245</v>
      </c>
      <c r="BI161" s="103" t="s">
        <v>89</v>
      </c>
      <c r="BJ161" s="110">
        <v>0</v>
      </c>
      <c r="BR161" s="23" t="s">
        <v>64</v>
      </c>
      <c r="BS161" s="39" t="s">
        <v>65</v>
      </c>
      <c r="BT161" s="40" t="s">
        <v>77</v>
      </c>
      <c r="BV161" s="23" t="s">
        <v>201</v>
      </c>
      <c r="BX161" s="23" t="s">
        <v>77</v>
      </c>
      <c r="BY161" s="23">
        <v>10</v>
      </c>
      <c r="BZ161" s="39" t="s">
        <v>118</v>
      </c>
    </row>
    <row r="162" spans="1:78" x14ac:dyDescent="0.25">
      <c r="A162">
        <v>2082</v>
      </c>
      <c r="B162" t="s">
        <v>58</v>
      </c>
      <c r="C162" t="s">
        <v>46</v>
      </c>
      <c r="D162" t="s">
        <v>212</v>
      </c>
      <c r="E162" s="40">
        <v>3032</v>
      </c>
      <c r="F162" s="39">
        <v>51025</v>
      </c>
      <c r="G162">
        <f t="shared" si="2"/>
        <v>51025.000000000007</v>
      </c>
      <c r="H162" s="5">
        <v>0</v>
      </c>
      <c r="I162" s="2">
        <v>66.040000000000006</v>
      </c>
      <c r="J162" s="2">
        <v>8.7200000000000006</v>
      </c>
      <c r="K162" s="2">
        <v>25.24</v>
      </c>
      <c r="L162" s="2">
        <v>0</v>
      </c>
      <c r="M162" s="2">
        <v>33696.910000000003</v>
      </c>
      <c r="N162" s="2">
        <v>4449.380000000001</v>
      </c>
      <c r="O162" s="6">
        <v>12878.710000000001</v>
      </c>
      <c r="P162" s="185"/>
      <c r="Q162" s="23">
        <v>102</v>
      </c>
      <c r="R162" s="23">
        <v>0</v>
      </c>
      <c r="S162" s="23">
        <v>20</v>
      </c>
      <c r="T162" s="23" t="s">
        <v>89</v>
      </c>
      <c r="U162" s="23" t="s">
        <v>90</v>
      </c>
      <c r="V162" s="39" t="s">
        <v>113</v>
      </c>
      <c r="W162" s="98"/>
      <c r="X162" s="99"/>
      <c r="Y162" s="99"/>
      <c r="Z162" s="99"/>
      <c r="AA162" s="99"/>
      <c r="AB162" s="99"/>
      <c r="AC162" s="99"/>
      <c r="AD162" s="99"/>
      <c r="AE162" s="99"/>
      <c r="AF162" s="99"/>
      <c r="AG162" s="99"/>
      <c r="AH162" s="99"/>
      <c r="AI162" s="99"/>
      <c r="AJ162" s="101" t="s">
        <v>64</v>
      </c>
      <c r="AK162" s="40">
        <v>0</v>
      </c>
      <c r="AL162" s="23">
        <v>0</v>
      </c>
      <c r="AM162" s="23">
        <v>0</v>
      </c>
      <c r="AN162" s="23">
        <v>100</v>
      </c>
      <c r="AO162" s="23">
        <v>0</v>
      </c>
      <c r="AP162" s="23">
        <v>0</v>
      </c>
      <c r="AQ162" s="23">
        <v>0</v>
      </c>
      <c r="AR162" s="23">
        <v>0</v>
      </c>
      <c r="AS162" s="23">
        <v>4449.380000000001</v>
      </c>
      <c r="AT162" s="23">
        <v>0</v>
      </c>
      <c r="AU162" s="23" t="s">
        <v>76</v>
      </c>
      <c r="AW162" s="40">
        <v>0</v>
      </c>
      <c r="AX162" s="39" t="s">
        <v>118</v>
      </c>
      <c r="AY162" s="103">
        <v>30</v>
      </c>
      <c r="AZ162" s="22"/>
      <c r="BA162" s="22">
        <v>30</v>
      </c>
      <c r="BB162" s="22"/>
      <c r="BC162" s="22">
        <v>5</v>
      </c>
      <c r="BD162" s="22"/>
      <c r="BE162" s="22"/>
      <c r="BF162" s="110" t="s">
        <v>118</v>
      </c>
      <c r="BG162" s="40" t="s">
        <v>63</v>
      </c>
      <c r="BI162" s="103" t="s">
        <v>77</v>
      </c>
      <c r="BJ162" s="110"/>
      <c r="BS162" s="39" t="s">
        <v>77</v>
      </c>
      <c r="BT162" s="40" t="s">
        <v>90</v>
      </c>
      <c r="BV162" s="23" t="s">
        <v>76</v>
      </c>
      <c r="BX162" s="23" t="s">
        <v>77</v>
      </c>
      <c r="BZ162" s="39" t="s">
        <v>77</v>
      </c>
    </row>
    <row r="163" spans="1:78" x14ac:dyDescent="0.25">
      <c r="A163">
        <v>2103</v>
      </c>
      <c r="B163" t="s">
        <v>59</v>
      </c>
      <c r="C163" t="s">
        <v>53</v>
      </c>
      <c r="D163" t="s">
        <v>210</v>
      </c>
      <c r="E163" s="40">
        <v>150000</v>
      </c>
      <c r="F163" s="39">
        <v>375000</v>
      </c>
      <c r="G163">
        <f t="shared" si="2"/>
        <v>375000</v>
      </c>
      <c r="H163" s="5">
        <v>15</v>
      </c>
      <c r="I163" s="2">
        <v>85</v>
      </c>
      <c r="J163" s="2">
        <v>0</v>
      </c>
      <c r="K163" s="2">
        <v>0</v>
      </c>
      <c r="L163" s="2">
        <v>56250</v>
      </c>
      <c r="M163" s="2">
        <v>318750</v>
      </c>
      <c r="N163" s="2">
        <v>0</v>
      </c>
      <c r="O163" s="6">
        <v>0</v>
      </c>
      <c r="P163" s="185"/>
      <c r="Q163" s="23">
        <v>39</v>
      </c>
      <c r="T163" s="23" t="s">
        <v>89</v>
      </c>
      <c r="U163" s="23" t="s">
        <v>89</v>
      </c>
      <c r="W163" s="40">
        <v>10</v>
      </c>
      <c r="X163" s="23">
        <v>5</v>
      </c>
      <c r="Y163" s="23">
        <v>30</v>
      </c>
      <c r="Z163" s="23">
        <v>15</v>
      </c>
      <c r="AA163" s="23">
        <v>20</v>
      </c>
      <c r="AB163" s="23">
        <v>20</v>
      </c>
      <c r="AC163" s="23">
        <v>5625</v>
      </c>
      <c r="AD163" s="23">
        <v>2812.5</v>
      </c>
      <c r="AE163" s="23">
        <v>16875</v>
      </c>
      <c r="AF163" s="23">
        <v>8437.5</v>
      </c>
      <c r="AG163" s="23">
        <v>11250</v>
      </c>
      <c r="AH163" s="23">
        <v>11250</v>
      </c>
      <c r="AJ163" s="101" t="s">
        <v>63</v>
      </c>
      <c r="AK163" s="98"/>
      <c r="AL163" s="99"/>
      <c r="AM163" s="99"/>
      <c r="AN163" s="99"/>
      <c r="AO163" s="99"/>
      <c r="AP163" s="99"/>
      <c r="AQ163" s="99"/>
      <c r="AR163" s="99"/>
      <c r="AS163" s="99"/>
      <c r="AT163" s="99"/>
      <c r="AU163" s="99" t="s">
        <v>77</v>
      </c>
      <c r="AX163" s="39" t="s">
        <v>77</v>
      </c>
      <c r="AY163" s="103"/>
      <c r="AZ163" s="22"/>
      <c r="BA163" s="22"/>
      <c r="BB163" s="22"/>
      <c r="BC163" s="22"/>
      <c r="BD163" s="22"/>
      <c r="BE163" s="22"/>
      <c r="BF163" s="110" t="s">
        <v>77</v>
      </c>
      <c r="BG163" s="40" t="s">
        <v>77</v>
      </c>
      <c r="BI163" s="103" t="s">
        <v>77</v>
      </c>
      <c r="BJ163" s="110"/>
      <c r="BS163" s="39" t="s">
        <v>77</v>
      </c>
      <c r="BT163" s="40" t="s">
        <v>90</v>
      </c>
      <c r="BV163" s="23" t="s">
        <v>76</v>
      </c>
      <c r="BX163" s="23" t="s">
        <v>77</v>
      </c>
      <c r="BZ163" s="39" t="s">
        <v>77</v>
      </c>
    </row>
    <row r="164" spans="1:78" x14ac:dyDescent="0.25">
      <c r="A164">
        <v>2110</v>
      </c>
      <c r="B164" t="s">
        <v>59</v>
      </c>
      <c r="C164" t="s">
        <v>54</v>
      </c>
      <c r="D164" t="s">
        <v>212</v>
      </c>
      <c r="E164" s="40">
        <v>40000</v>
      </c>
      <c r="F164" s="39">
        <v>66000</v>
      </c>
      <c r="G164">
        <f t="shared" si="2"/>
        <v>66000</v>
      </c>
      <c r="H164" s="5">
        <v>15</v>
      </c>
      <c r="I164" s="2">
        <v>85</v>
      </c>
      <c r="J164" s="2">
        <v>0</v>
      </c>
      <c r="K164" s="2">
        <v>0</v>
      </c>
      <c r="L164" s="2">
        <v>9900</v>
      </c>
      <c r="M164" s="2">
        <v>56100</v>
      </c>
      <c r="N164" s="2">
        <v>0</v>
      </c>
      <c r="O164" s="6">
        <v>0</v>
      </c>
      <c r="P164" s="185"/>
      <c r="Q164" s="23">
        <v>34</v>
      </c>
      <c r="T164" s="23" t="s">
        <v>89</v>
      </c>
      <c r="U164" s="23" t="s">
        <v>89</v>
      </c>
      <c r="W164" s="40">
        <v>0</v>
      </c>
      <c r="X164" s="23">
        <v>10</v>
      </c>
      <c r="Y164" s="23">
        <v>85</v>
      </c>
      <c r="Z164" s="23">
        <v>2</v>
      </c>
      <c r="AA164" s="23">
        <v>2</v>
      </c>
      <c r="AB164" s="23">
        <v>1</v>
      </c>
      <c r="AC164" s="23">
        <v>0</v>
      </c>
      <c r="AD164" s="23">
        <v>990</v>
      </c>
      <c r="AE164" s="23">
        <v>8415</v>
      </c>
      <c r="AF164" s="23">
        <v>198</v>
      </c>
      <c r="AG164" s="23">
        <v>198</v>
      </c>
      <c r="AH164" s="23">
        <v>99</v>
      </c>
      <c r="AJ164" s="101" t="s">
        <v>63</v>
      </c>
      <c r="AK164" s="98"/>
      <c r="AL164" s="99"/>
      <c r="AM164" s="99"/>
      <c r="AN164" s="99"/>
      <c r="AO164" s="99"/>
      <c r="AP164" s="99"/>
      <c r="AQ164" s="99"/>
      <c r="AR164" s="99"/>
      <c r="AS164" s="99"/>
      <c r="AT164" s="99"/>
      <c r="AU164" s="99" t="s">
        <v>77</v>
      </c>
      <c r="AX164" s="39" t="s">
        <v>77</v>
      </c>
      <c r="AY164" s="103"/>
      <c r="AZ164" s="22"/>
      <c r="BA164" s="22"/>
      <c r="BB164" s="22"/>
      <c r="BC164" s="22"/>
      <c r="BD164" s="22"/>
      <c r="BE164" s="22"/>
      <c r="BF164" s="110" t="s">
        <v>77</v>
      </c>
      <c r="BG164" s="40" t="s">
        <v>77</v>
      </c>
      <c r="BI164" s="103" t="s">
        <v>77</v>
      </c>
      <c r="BJ164" s="110"/>
      <c r="BS164" s="39" t="s">
        <v>77</v>
      </c>
      <c r="BT164" s="40" t="s">
        <v>77</v>
      </c>
      <c r="BV164" s="23" t="s">
        <v>201</v>
      </c>
      <c r="BX164" s="23" t="s">
        <v>77</v>
      </c>
      <c r="BZ164" s="39" t="s">
        <v>77</v>
      </c>
    </row>
    <row r="165" spans="1:78" x14ac:dyDescent="0.25">
      <c r="A165">
        <v>2124</v>
      </c>
      <c r="B165" t="s">
        <v>59</v>
      </c>
      <c r="C165" t="s">
        <v>55</v>
      </c>
      <c r="D165" t="s">
        <v>213</v>
      </c>
      <c r="E165" s="40">
        <v>90000</v>
      </c>
      <c r="F165" s="39">
        <v>111965.9</v>
      </c>
      <c r="G165">
        <f t="shared" si="2"/>
        <v>111965.90000000001</v>
      </c>
      <c r="H165" s="5">
        <v>6</v>
      </c>
      <c r="I165" s="2">
        <v>55</v>
      </c>
      <c r="J165" s="2">
        <v>1</v>
      </c>
      <c r="K165" s="2">
        <v>38</v>
      </c>
      <c r="L165" s="2">
        <v>6717.9539999999988</v>
      </c>
      <c r="M165" s="2">
        <v>61581.245000000003</v>
      </c>
      <c r="N165" s="2">
        <v>1119.6589999999999</v>
      </c>
      <c r="O165" s="6">
        <v>42547.042000000001</v>
      </c>
      <c r="P165" s="185"/>
      <c r="Q165" s="23">
        <v>80</v>
      </c>
      <c r="T165" s="23" t="s">
        <v>64</v>
      </c>
      <c r="U165" s="23" t="s">
        <v>64</v>
      </c>
      <c r="W165" s="40">
        <v>5</v>
      </c>
      <c r="X165" s="23">
        <v>5</v>
      </c>
      <c r="Y165" s="23">
        <v>70</v>
      </c>
      <c r="Z165" s="23">
        <v>5</v>
      </c>
      <c r="AA165" s="23">
        <v>0</v>
      </c>
      <c r="AB165" s="23">
        <v>15</v>
      </c>
      <c r="AC165" s="23">
        <v>335.89769999999999</v>
      </c>
      <c r="AD165" s="23">
        <v>335.89769999999999</v>
      </c>
      <c r="AE165" s="23">
        <v>4702.5677999999989</v>
      </c>
      <c r="AF165" s="23">
        <v>335.89769999999999</v>
      </c>
      <c r="AG165" s="23">
        <v>0</v>
      </c>
      <c r="AH165" s="23">
        <v>1007.6930999999998</v>
      </c>
      <c r="AJ165" s="101" t="s">
        <v>64</v>
      </c>
      <c r="AK165" s="40">
        <v>5</v>
      </c>
      <c r="AL165" s="23">
        <v>5</v>
      </c>
      <c r="AM165" s="23">
        <v>70</v>
      </c>
      <c r="AN165" s="23">
        <v>15</v>
      </c>
      <c r="AO165" s="23">
        <v>5</v>
      </c>
      <c r="AP165" s="23">
        <v>55.982949999999995</v>
      </c>
      <c r="AQ165" s="23">
        <v>55.982949999999995</v>
      </c>
      <c r="AR165" s="23">
        <v>783.76129999999989</v>
      </c>
      <c r="AS165" s="23">
        <v>167.94884999999999</v>
      </c>
      <c r="AT165" s="23">
        <v>55.982949999999995</v>
      </c>
      <c r="AU165" s="23" t="s">
        <v>76</v>
      </c>
      <c r="AW165" s="40">
        <v>0</v>
      </c>
      <c r="AX165" s="39" t="s">
        <v>118</v>
      </c>
      <c r="AY165" s="103"/>
      <c r="AZ165" s="22"/>
      <c r="BA165" s="22"/>
      <c r="BB165" s="22"/>
      <c r="BC165" s="22"/>
      <c r="BD165" s="22"/>
      <c r="BE165" s="22" t="s">
        <v>64</v>
      </c>
      <c r="BF165" s="110" t="s">
        <v>76</v>
      </c>
      <c r="BG165" s="40" t="s">
        <v>63</v>
      </c>
      <c r="BI165" s="103" t="s">
        <v>77</v>
      </c>
      <c r="BJ165" s="110"/>
      <c r="BS165" s="39" t="s">
        <v>77</v>
      </c>
      <c r="BT165" s="40" t="s">
        <v>90</v>
      </c>
      <c r="BV165" s="23" t="s">
        <v>76</v>
      </c>
      <c r="BX165" s="23" t="s">
        <v>77</v>
      </c>
      <c r="BZ165" s="39" t="s">
        <v>77</v>
      </c>
    </row>
    <row r="166" spans="1:78" x14ac:dyDescent="0.25">
      <c r="A166">
        <v>2366</v>
      </c>
      <c r="B166" t="s">
        <v>58</v>
      </c>
      <c r="C166" t="s">
        <v>28</v>
      </c>
      <c r="D166" t="s">
        <v>213</v>
      </c>
      <c r="E166" s="40">
        <v>23793</v>
      </c>
      <c r="F166" s="39">
        <v>8409</v>
      </c>
      <c r="G166">
        <f t="shared" si="2"/>
        <v>8409</v>
      </c>
      <c r="H166" s="5">
        <v>0</v>
      </c>
      <c r="I166" s="2">
        <v>0</v>
      </c>
      <c r="J166" s="2">
        <v>100</v>
      </c>
      <c r="K166" s="2">
        <v>0</v>
      </c>
      <c r="L166" s="2">
        <v>0</v>
      </c>
      <c r="M166" s="2">
        <v>0</v>
      </c>
      <c r="N166" s="2">
        <v>8409</v>
      </c>
      <c r="O166" s="6">
        <v>0</v>
      </c>
      <c r="P166" s="185"/>
      <c r="T166" s="23" t="s">
        <v>77</v>
      </c>
      <c r="U166" s="23" t="s">
        <v>77</v>
      </c>
      <c r="W166" s="98"/>
      <c r="X166" s="99"/>
      <c r="Y166" s="99"/>
      <c r="Z166" s="99"/>
      <c r="AA166" s="99"/>
      <c r="AB166" s="99"/>
      <c r="AC166" s="99"/>
      <c r="AD166" s="99"/>
      <c r="AE166" s="99"/>
      <c r="AF166" s="99"/>
      <c r="AG166" s="99"/>
      <c r="AH166" s="99"/>
      <c r="AI166" s="99"/>
      <c r="AJ166" s="101" t="s">
        <v>77</v>
      </c>
      <c r="AK166" s="98"/>
      <c r="AL166" s="99"/>
      <c r="AM166" s="99"/>
      <c r="AN166" s="99"/>
      <c r="AO166" s="99"/>
      <c r="AP166" s="99"/>
      <c r="AQ166" s="99"/>
      <c r="AR166" s="99"/>
      <c r="AS166" s="99"/>
      <c r="AT166" s="99"/>
      <c r="AU166" s="99" t="s">
        <v>77</v>
      </c>
      <c r="AV166" s="39" t="s">
        <v>64</v>
      </c>
      <c r="AX166" s="39" t="s">
        <v>77</v>
      </c>
      <c r="AY166" s="103"/>
      <c r="AZ166" s="22"/>
      <c r="BA166" s="22"/>
      <c r="BB166" s="22"/>
      <c r="BC166" s="22"/>
      <c r="BD166" s="22"/>
      <c r="BE166" s="22"/>
      <c r="BF166" s="110" t="s">
        <v>77</v>
      </c>
      <c r="BG166" s="40" t="s">
        <v>77</v>
      </c>
      <c r="BI166" s="103" t="s">
        <v>77</v>
      </c>
      <c r="BJ166" s="110"/>
      <c r="BS166" s="39" t="s">
        <v>77</v>
      </c>
      <c r="BT166" s="40" t="s">
        <v>77</v>
      </c>
      <c r="BV166" s="23" t="s">
        <v>201</v>
      </c>
      <c r="BX166" s="23" t="s">
        <v>77</v>
      </c>
      <c r="BZ166" s="39" t="s">
        <v>77</v>
      </c>
    </row>
    <row r="167" spans="1:78" x14ac:dyDescent="0.25">
      <c r="A167">
        <v>2368</v>
      </c>
      <c r="B167" t="s">
        <v>58</v>
      </c>
      <c r="C167" t="s">
        <v>34</v>
      </c>
      <c r="D167" t="s">
        <v>210</v>
      </c>
      <c r="E167" s="40">
        <v>14000</v>
      </c>
      <c r="F167" s="39">
        <v>12315</v>
      </c>
      <c r="G167">
        <f t="shared" si="2"/>
        <v>12315</v>
      </c>
      <c r="H167" s="5">
        <v>0</v>
      </c>
      <c r="I167" s="2">
        <v>56.283477544293369</v>
      </c>
      <c r="J167" s="2">
        <v>43.461063040791096</v>
      </c>
      <c r="K167" s="2">
        <v>0.25545941491553359</v>
      </c>
      <c r="L167" s="2">
        <v>0</v>
      </c>
      <c r="M167" s="2">
        <v>6931.3102595797291</v>
      </c>
      <c r="N167" s="2">
        <v>5352.2299134734239</v>
      </c>
      <c r="O167" s="6">
        <v>31.459826946847961</v>
      </c>
      <c r="P167" s="185"/>
      <c r="T167" s="23" t="s">
        <v>90</v>
      </c>
      <c r="U167" s="23" t="s">
        <v>90</v>
      </c>
      <c r="W167" s="98"/>
      <c r="X167" s="99"/>
      <c r="Y167" s="99"/>
      <c r="Z167" s="99"/>
      <c r="AA167" s="99"/>
      <c r="AB167" s="99"/>
      <c r="AC167" s="99"/>
      <c r="AD167" s="99"/>
      <c r="AE167" s="99"/>
      <c r="AF167" s="99"/>
      <c r="AG167" s="99"/>
      <c r="AH167" s="99"/>
      <c r="AI167" s="99"/>
      <c r="AJ167" s="101" t="s">
        <v>64</v>
      </c>
      <c r="AK167" s="40">
        <v>3</v>
      </c>
      <c r="AL167" s="23">
        <v>0</v>
      </c>
      <c r="AM167" s="23">
        <v>0</v>
      </c>
      <c r="AN167" s="23">
        <v>97</v>
      </c>
      <c r="AO167" s="23">
        <v>0</v>
      </c>
      <c r="AP167" s="23">
        <v>160.56689740420273</v>
      </c>
      <c r="AQ167" s="23">
        <v>0</v>
      </c>
      <c r="AR167" s="23">
        <v>0</v>
      </c>
      <c r="AS167" s="23">
        <v>5191.6630160692212</v>
      </c>
      <c r="AT167" s="23">
        <v>0</v>
      </c>
      <c r="AU167" s="23" t="s">
        <v>76</v>
      </c>
      <c r="AV167" s="39" t="s">
        <v>64</v>
      </c>
      <c r="AW167" s="40">
        <v>0</v>
      </c>
      <c r="AX167" s="39" t="s">
        <v>118</v>
      </c>
      <c r="AY167" s="103"/>
      <c r="AZ167" s="22"/>
      <c r="BA167" s="22"/>
      <c r="BB167" s="22"/>
      <c r="BC167" s="22"/>
      <c r="BD167" s="22"/>
      <c r="BE167" s="22"/>
      <c r="BF167" s="110" t="s">
        <v>77</v>
      </c>
      <c r="BG167" s="40" t="s">
        <v>63</v>
      </c>
      <c r="BI167" s="103" t="s">
        <v>77</v>
      </c>
      <c r="BJ167" s="110"/>
      <c r="BS167" s="39" t="s">
        <v>77</v>
      </c>
      <c r="BT167" s="40" t="s">
        <v>90</v>
      </c>
      <c r="BV167" s="23" t="s">
        <v>76</v>
      </c>
      <c r="BX167" s="23" t="s">
        <v>77</v>
      </c>
      <c r="BZ167" s="39" t="s">
        <v>77</v>
      </c>
    </row>
    <row r="168" spans="1:78" x14ac:dyDescent="0.25">
      <c r="A168">
        <v>2371</v>
      </c>
      <c r="B168" t="s">
        <v>58</v>
      </c>
      <c r="C168" t="s">
        <v>56</v>
      </c>
      <c r="D168" t="s">
        <v>211</v>
      </c>
      <c r="E168" s="40">
        <v>125000</v>
      </c>
      <c r="F168" s="39">
        <v>140000</v>
      </c>
      <c r="G168">
        <f t="shared" si="2"/>
        <v>140000</v>
      </c>
      <c r="H168" s="5">
        <v>3</v>
      </c>
      <c r="I168" s="2">
        <v>87</v>
      </c>
      <c r="J168" s="2">
        <v>1</v>
      </c>
      <c r="K168" s="2">
        <v>9</v>
      </c>
      <c r="L168" s="2">
        <v>4200</v>
      </c>
      <c r="M168" s="2">
        <v>121800</v>
      </c>
      <c r="N168" s="2">
        <v>1400</v>
      </c>
      <c r="O168" s="6">
        <v>12600</v>
      </c>
      <c r="P168" s="185"/>
      <c r="Q168" s="23">
        <v>45</v>
      </c>
      <c r="R168" s="23">
        <v>29</v>
      </c>
      <c r="S168" s="23">
        <v>29</v>
      </c>
      <c r="T168" s="23" t="s">
        <v>89</v>
      </c>
      <c r="U168" s="23" t="s">
        <v>89</v>
      </c>
      <c r="W168" s="40">
        <v>0</v>
      </c>
      <c r="X168" s="23">
        <v>0</v>
      </c>
      <c r="Y168" s="23">
        <v>14.285714285714285</v>
      </c>
      <c r="Z168" s="23">
        <v>35.714285714285715</v>
      </c>
      <c r="AA168" s="23">
        <v>21.428571428571427</v>
      </c>
      <c r="AB168" s="23">
        <v>28.571428571428569</v>
      </c>
      <c r="AC168" s="23">
        <v>0</v>
      </c>
      <c r="AD168" s="23">
        <v>0</v>
      </c>
      <c r="AE168" s="23">
        <v>599.99999999999989</v>
      </c>
      <c r="AF168" s="23">
        <v>1500</v>
      </c>
      <c r="AG168" s="23">
        <v>900</v>
      </c>
      <c r="AH168" s="23">
        <v>1199.9999999999998</v>
      </c>
      <c r="AJ168" s="101" t="s">
        <v>64</v>
      </c>
      <c r="AK168" s="40">
        <v>0</v>
      </c>
      <c r="AL168" s="23">
        <v>0</v>
      </c>
      <c r="AM168" s="23">
        <v>0</v>
      </c>
      <c r="AN168" s="23">
        <v>100</v>
      </c>
      <c r="AO168" s="23">
        <v>0</v>
      </c>
      <c r="AP168" s="23">
        <v>0</v>
      </c>
      <c r="AQ168" s="23">
        <v>0</v>
      </c>
      <c r="AR168" s="23">
        <v>0</v>
      </c>
      <c r="AS168" s="23">
        <v>1400</v>
      </c>
      <c r="AT168" s="23">
        <v>0</v>
      </c>
      <c r="AU168" s="23" t="s">
        <v>76</v>
      </c>
      <c r="AW168" s="40">
        <v>0</v>
      </c>
      <c r="AX168" s="39" t="s">
        <v>118</v>
      </c>
      <c r="AY168" s="103"/>
      <c r="AZ168" s="22"/>
      <c r="BA168" s="22"/>
      <c r="BB168" s="22"/>
      <c r="BC168" s="22"/>
      <c r="BD168" s="22"/>
      <c r="BE168" s="22" t="s">
        <v>64</v>
      </c>
      <c r="BF168" s="110" t="s">
        <v>76</v>
      </c>
      <c r="BG168" s="40" t="s">
        <v>63</v>
      </c>
      <c r="BI168" s="103" t="s">
        <v>77</v>
      </c>
      <c r="BJ168" s="110"/>
      <c r="BS168" s="39" t="s">
        <v>77</v>
      </c>
      <c r="BT168" s="40" t="s">
        <v>90</v>
      </c>
      <c r="BV168" s="23" t="s">
        <v>76</v>
      </c>
      <c r="BX168" s="23" t="s">
        <v>77</v>
      </c>
      <c r="BZ168" s="39" t="s">
        <v>77</v>
      </c>
    </row>
    <row r="169" spans="1:78" x14ac:dyDescent="0.25">
      <c r="A169">
        <v>2372</v>
      </c>
      <c r="B169" t="s">
        <v>58</v>
      </c>
      <c r="C169" t="s">
        <v>45</v>
      </c>
      <c r="D169" t="s">
        <v>211</v>
      </c>
      <c r="E169" s="40">
        <v>62000</v>
      </c>
      <c r="F169" s="39">
        <v>26000</v>
      </c>
      <c r="G169">
        <f t="shared" si="2"/>
        <v>26000</v>
      </c>
      <c r="H169" s="5">
        <v>0</v>
      </c>
      <c r="I169" s="2">
        <v>100</v>
      </c>
      <c r="J169" s="2">
        <v>0</v>
      </c>
      <c r="K169" s="2">
        <v>0</v>
      </c>
      <c r="L169" s="2">
        <v>0</v>
      </c>
      <c r="M169" s="2">
        <v>26000</v>
      </c>
      <c r="N169" s="2">
        <v>0</v>
      </c>
      <c r="O169" s="6">
        <v>0</v>
      </c>
      <c r="P169" s="185"/>
      <c r="Q169" s="23">
        <v>53</v>
      </c>
      <c r="T169" s="23" t="s">
        <v>90</v>
      </c>
      <c r="U169" s="23" t="s">
        <v>90</v>
      </c>
      <c r="W169" s="98"/>
      <c r="X169" s="99"/>
      <c r="Y169" s="99"/>
      <c r="Z169" s="99"/>
      <c r="AA169" s="99"/>
      <c r="AB169" s="99"/>
      <c r="AC169" s="99"/>
      <c r="AD169" s="99"/>
      <c r="AE169" s="99"/>
      <c r="AF169" s="99"/>
      <c r="AG169" s="99"/>
      <c r="AH169" s="99"/>
      <c r="AI169" s="99"/>
      <c r="AJ169" s="101" t="s">
        <v>77</v>
      </c>
      <c r="AK169" s="98"/>
      <c r="AL169" s="99"/>
      <c r="AM169" s="99"/>
      <c r="AN169" s="99"/>
      <c r="AO169" s="99"/>
      <c r="AP169" s="99"/>
      <c r="AQ169" s="99"/>
      <c r="AR169" s="99"/>
      <c r="AS169" s="99"/>
      <c r="AT169" s="99"/>
      <c r="AU169" s="99" t="s">
        <v>77</v>
      </c>
      <c r="AX169" s="39" t="s">
        <v>77</v>
      </c>
      <c r="AY169" s="103"/>
      <c r="AZ169" s="22"/>
      <c r="BA169" s="22"/>
      <c r="BB169" s="22"/>
      <c r="BC169" s="22"/>
      <c r="BD169" s="22"/>
      <c r="BE169" s="22"/>
      <c r="BF169" s="110" t="s">
        <v>77</v>
      </c>
      <c r="BG169" s="40" t="s">
        <v>77</v>
      </c>
      <c r="BI169" s="103" t="s">
        <v>77</v>
      </c>
      <c r="BJ169" s="110"/>
      <c r="BS169" s="39" t="s">
        <v>77</v>
      </c>
      <c r="BT169" s="40" t="s">
        <v>77</v>
      </c>
      <c r="BV169" s="23" t="s">
        <v>201</v>
      </c>
      <c r="BX169" s="23" t="s">
        <v>77</v>
      </c>
      <c r="BZ169" s="39" t="s">
        <v>77</v>
      </c>
    </row>
    <row r="170" spans="1:78" x14ac:dyDescent="0.25">
      <c r="A170">
        <v>2373</v>
      </c>
      <c r="B170" t="s">
        <v>58</v>
      </c>
      <c r="C170" t="s">
        <v>45</v>
      </c>
      <c r="D170" t="s">
        <v>211</v>
      </c>
      <c r="E170" s="40">
        <v>225000</v>
      </c>
      <c r="F170" s="39">
        <v>190000</v>
      </c>
      <c r="G170">
        <f t="shared" si="2"/>
        <v>190000</v>
      </c>
      <c r="H170" s="5">
        <v>15</v>
      </c>
      <c r="I170" s="2">
        <v>85</v>
      </c>
      <c r="J170" s="2">
        <v>0</v>
      </c>
      <c r="K170" s="2">
        <v>0</v>
      </c>
      <c r="L170" s="2">
        <v>28500</v>
      </c>
      <c r="M170" s="2">
        <v>161500</v>
      </c>
      <c r="N170" s="2">
        <v>0</v>
      </c>
      <c r="O170" s="6">
        <v>0</v>
      </c>
      <c r="P170" s="185"/>
      <c r="Q170" s="23">
        <v>43</v>
      </c>
      <c r="R170" s="23">
        <v>43</v>
      </c>
      <c r="S170" s="23">
        <v>43</v>
      </c>
      <c r="T170" s="23" t="s">
        <v>89</v>
      </c>
      <c r="U170" s="23" t="s">
        <v>89</v>
      </c>
      <c r="W170" s="40">
        <v>5</v>
      </c>
      <c r="X170" s="23">
        <v>5</v>
      </c>
      <c r="Y170" s="23">
        <v>53</v>
      </c>
      <c r="Z170" s="23">
        <v>25</v>
      </c>
      <c r="AA170" s="23">
        <v>2</v>
      </c>
      <c r="AB170" s="23">
        <v>10</v>
      </c>
      <c r="AC170" s="23">
        <v>1425</v>
      </c>
      <c r="AD170" s="23">
        <v>1425</v>
      </c>
      <c r="AE170" s="23">
        <v>15105</v>
      </c>
      <c r="AF170" s="23">
        <v>7125</v>
      </c>
      <c r="AG170" s="23">
        <v>570</v>
      </c>
      <c r="AH170" s="23">
        <v>2850</v>
      </c>
      <c r="AJ170" s="101" t="s">
        <v>64</v>
      </c>
      <c r="AK170" s="98"/>
      <c r="AL170" s="99"/>
      <c r="AM170" s="99"/>
      <c r="AN170" s="99"/>
      <c r="AO170" s="99"/>
      <c r="AP170" s="99"/>
      <c r="AQ170" s="99"/>
      <c r="AR170" s="99"/>
      <c r="AS170" s="99"/>
      <c r="AT170" s="99"/>
      <c r="AU170" s="99" t="s">
        <v>77</v>
      </c>
      <c r="AW170" s="40">
        <v>15</v>
      </c>
      <c r="AX170" s="39" t="s">
        <v>76</v>
      </c>
      <c r="AY170" s="103"/>
      <c r="AZ170" s="22"/>
      <c r="BA170" s="22"/>
      <c r="BB170" s="22"/>
      <c r="BC170" s="22"/>
      <c r="BD170" s="22"/>
      <c r="BE170" s="22" t="s">
        <v>64</v>
      </c>
      <c r="BF170" s="110" t="s">
        <v>76</v>
      </c>
      <c r="BG170" s="40" t="s">
        <v>63</v>
      </c>
      <c r="BI170" s="103" t="s">
        <v>77</v>
      </c>
      <c r="BJ170" s="110"/>
      <c r="BS170" s="39" t="s">
        <v>77</v>
      </c>
      <c r="BT170" s="40" t="s">
        <v>90</v>
      </c>
      <c r="BV170" s="23" t="s">
        <v>76</v>
      </c>
      <c r="BX170" s="23" t="s">
        <v>77</v>
      </c>
      <c r="BZ170" s="39" t="s">
        <v>77</v>
      </c>
    </row>
    <row r="171" spans="1:78" x14ac:dyDescent="0.25">
      <c r="A171">
        <v>2376</v>
      </c>
      <c r="B171" t="s">
        <v>58</v>
      </c>
      <c r="C171" t="s">
        <v>57</v>
      </c>
      <c r="D171" t="s">
        <v>210</v>
      </c>
      <c r="E171" s="40">
        <v>140000</v>
      </c>
      <c r="F171" s="39">
        <v>179984.06</v>
      </c>
      <c r="G171">
        <f t="shared" si="2"/>
        <v>179984.06</v>
      </c>
      <c r="H171" s="5">
        <f>(L171/$F171)*100</f>
        <v>8.9831788437264937</v>
      </c>
      <c r="I171" s="2">
        <f t="shared" ref="I171:K171" si="6">(M171/$F171)*100</f>
        <v>87.610152810198855</v>
      </c>
      <c r="J171" s="2">
        <f t="shared" si="6"/>
        <v>3.406668346074647</v>
      </c>
      <c r="K171" s="2">
        <f t="shared" si="6"/>
        <v>0</v>
      </c>
      <c r="L171" s="2">
        <v>16168.289999999997</v>
      </c>
      <c r="M171" s="2">
        <v>157684.31</v>
      </c>
      <c r="N171" s="2">
        <v>6131.46</v>
      </c>
      <c r="O171" s="6">
        <v>0</v>
      </c>
      <c r="P171" s="185"/>
      <c r="Q171" s="23">
        <v>45.76</v>
      </c>
      <c r="T171" s="23" t="s">
        <v>89</v>
      </c>
      <c r="U171" s="23" t="s">
        <v>89</v>
      </c>
      <c r="W171" s="98"/>
      <c r="X171" s="99"/>
      <c r="Y171" s="99"/>
      <c r="Z171" s="99"/>
      <c r="AA171" s="99"/>
      <c r="AB171" s="99"/>
      <c r="AC171" s="99"/>
      <c r="AD171" s="99"/>
      <c r="AE171" s="99"/>
      <c r="AF171" s="99"/>
      <c r="AG171" s="99"/>
      <c r="AH171" s="99"/>
      <c r="AI171" s="99"/>
      <c r="AJ171" s="101" t="s">
        <v>64</v>
      </c>
      <c r="AK171" s="40">
        <v>2</v>
      </c>
      <c r="AL171" s="23">
        <v>1</v>
      </c>
      <c r="AM171" s="23">
        <v>2</v>
      </c>
      <c r="AN171" s="23">
        <v>95</v>
      </c>
      <c r="AO171" s="23">
        <v>0</v>
      </c>
      <c r="AP171" s="23">
        <v>122.6292</v>
      </c>
      <c r="AQ171" s="23">
        <v>61.314599999999999</v>
      </c>
      <c r="AR171" s="23">
        <v>122.6292</v>
      </c>
      <c r="AS171" s="23">
        <v>5824.8869999999997</v>
      </c>
      <c r="AT171" s="23">
        <v>0</v>
      </c>
      <c r="AU171" s="23" t="s">
        <v>76</v>
      </c>
      <c r="AX171" s="39" t="s">
        <v>77</v>
      </c>
      <c r="AY171" s="103">
        <v>0</v>
      </c>
      <c r="AZ171" s="22"/>
      <c r="BA171" s="22">
        <v>0</v>
      </c>
      <c r="BB171" s="22"/>
      <c r="BC171" s="22">
        <v>30</v>
      </c>
      <c r="BD171" s="22"/>
      <c r="BE171" s="22"/>
      <c r="BF171" s="110" t="s">
        <v>118</v>
      </c>
      <c r="BG171" s="40" t="s">
        <v>63</v>
      </c>
      <c r="BI171" s="103" t="s">
        <v>77</v>
      </c>
      <c r="BJ171" s="110"/>
      <c r="BS171" s="39" t="s">
        <v>77</v>
      </c>
      <c r="BT171" s="40" t="s">
        <v>90</v>
      </c>
      <c r="BV171" s="23" t="s">
        <v>76</v>
      </c>
      <c r="BX171" s="23" t="s">
        <v>77</v>
      </c>
      <c r="BZ171" s="39" t="s">
        <v>77</v>
      </c>
    </row>
    <row r="172" spans="1:78" x14ac:dyDescent="0.25">
      <c r="A172">
        <v>2377</v>
      </c>
      <c r="B172" t="s">
        <v>58</v>
      </c>
      <c r="C172" t="s">
        <v>21</v>
      </c>
      <c r="D172" t="s">
        <v>210</v>
      </c>
      <c r="E172" s="40">
        <v>150000</v>
      </c>
      <c r="F172" s="39">
        <v>35132</v>
      </c>
      <c r="G172">
        <f t="shared" si="2"/>
        <v>35132</v>
      </c>
      <c r="H172" s="5">
        <v>10</v>
      </c>
      <c r="I172" s="2">
        <v>80</v>
      </c>
      <c r="J172" s="2">
        <v>0</v>
      </c>
      <c r="K172" s="2">
        <v>10</v>
      </c>
      <c r="L172" s="2">
        <v>3513.2000000000003</v>
      </c>
      <c r="M172" s="2">
        <v>28105.600000000002</v>
      </c>
      <c r="N172" s="2">
        <v>0</v>
      </c>
      <c r="O172" s="6">
        <v>3513.2000000000003</v>
      </c>
      <c r="P172" s="185"/>
      <c r="Q172" s="23">
        <v>40</v>
      </c>
      <c r="R172" s="23">
        <v>40</v>
      </c>
      <c r="S172" s="23">
        <v>0</v>
      </c>
      <c r="T172" s="23" t="s">
        <v>89</v>
      </c>
      <c r="U172" s="23" t="s">
        <v>89</v>
      </c>
      <c r="W172" s="40">
        <v>5</v>
      </c>
      <c r="X172" s="23">
        <v>5</v>
      </c>
      <c r="Y172" s="23">
        <v>25</v>
      </c>
      <c r="Z172" s="23">
        <v>5</v>
      </c>
      <c r="AA172" s="23">
        <v>10</v>
      </c>
      <c r="AB172" s="23">
        <v>50</v>
      </c>
      <c r="AC172" s="23">
        <v>175.66</v>
      </c>
      <c r="AD172" s="23">
        <v>175.66</v>
      </c>
      <c r="AE172" s="23">
        <v>878.30000000000007</v>
      </c>
      <c r="AF172" s="23">
        <v>175.66</v>
      </c>
      <c r="AG172" s="23">
        <v>351.32</v>
      </c>
      <c r="AH172" s="23">
        <v>1756.6000000000001</v>
      </c>
      <c r="AJ172" s="101" t="s">
        <v>63</v>
      </c>
      <c r="AK172" s="98"/>
      <c r="AL172" s="99"/>
      <c r="AM172" s="99"/>
      <c r="AN172" s="99"/>
      <c r="AO172" s="99"/>
      <c r="AP172" s="99"/>
      <c r="AQ172" s="99"/>
      <c r="AR172" s="99"/>
      <c r="AS172" s="99"/>
      <c r="AT172" s="99"/>
      <c r="AU172" s="99" t="s">
        <v>77</v>
      </c>
      <c r="AX172" s="39" t="s">
        <v>77</v>
      </c>
      <c r="AY172" s="103"/>
      <c r="AZ172" s="22"/>
      <c r="BA172" s="22"/>
      <c r="BB172" s="22"/>
      <c r="BC172" s="22"/>
      <c r="BD172" s="22"/>
      <c r="BE172" s="22"/>
      <c r="BF172" s="110" t="s">
        <v>77</v>
      </c>
      <c r="BG172" s="40" t="s">
        <v>77</v>
      </c>
      <c r="BI172" s="103" t="s">
        <v>77</v>
      </c>
      <c r="BJ172" s="110"/>
      <c r="BS172" s="39" t="s">
        <v>77</v>
      </c>
      <c r="BT172" s="40" t="s">
        <v>90</v>
      </c>
      <c r="BV172" s="23" t="s">
        <v>76</v>
      </c>
      <c r="BX172" s="23" t="s">
        <v>77</v>
      </c>
      <c r="BZ172" s="39" t="s">
        <v>77</v>
      </c>
    </row>
    <row r="173" spans="1:78" x14ac:dyDescent="0.25">
      <c r="A173">
        <v>2379</v>
      </c>
      <c r="B173" t="s">
        <v>58</v>
      </c>
      <c r="C173" t="s">
        <v>16</v>
      </c>
      <c r="D173" t="s">
        <v>210</v>
      </c>
      <c r="E173" s="40">
        <v>160000</v>
      </c>
      <c r="F173" s="39">
        <v>203000</v>
      </c>
      <c r="G173">
        <f t="shared" si="2"/>
        <v>203000</v>
      </c>
      <c r="H173" s="5">
        <v>0</v>
      </c>
      <c r="I173" s="2">
        <v>99.21182266009852</v>
      </c>
      <c r="J173" s="2">
        <v>0.78817733990147776</v>
      </c>
      <c r="K173" s="2">
        <v>0</v>
      </c>
      <c r="L173" s="2">
        <v>0</v>
      </c>
      <c r="M173" s="2">
        <v>201400</v>
      </c>
      <c r="N173" s="2">
        <v>1599.9999999999998</v>
      </c>
      <c r="O173" s="6">
        <v>0</v>
      </c>
      <c r="P173" s="185"/>
      <c r="Q173" s="23">
        <v>33.75</v>
      </c>
      <c r="R173" s="23">
        <v>33.75</v>
      </c>
      <c r="T173" s="23" t="s">
        <v>89</v>
      </c>
      <c r="U173" s="23" t="s">
        <v>89</v>
      </c>
      <c r="W173" s="98"/>
      <c r="X173" s="99"/>
      <c r="Y173" s="99"/>
      <c r="Z173" s="99"/>
      <c r="AA173" s="99"/>
      <c r="AB173" s="99"/>
      <c r="AC173" s="99"/>
      <c r="AD173" s="99"/>
      <c r="AE173" s="99"/>
      <c r="AF173" s="99"/>
      <c r="AG173" s="99"/>
      <c r="AH173" s="99"/>
      <c r="AI173" s="99"/>
      <c r="AJ173" s="101" t="s">
        <v>64</v>
      </c>
      <c r="AK173" s="40">
        <v>0</v>
      </c>
      <c r="AL173" s="23">
        <v>0</v>
      </c>
      <c r="AM173" s="23">
        <v>0</v>
      </c>
      <c r="AN173" s="23">
        <v>100</v>
      </c>
      <c r="AO173" s="23">
        <v>0</v>
      </c>
      <c r="AP173" s="23">
        <v>0</v>
      </c>
      <c r="AQ173" s="23">
        <v>0</v>
      </c>
      <c r="AR173" s="23">
        <v>0</v>
      </c>
      <c r="AS173" s="23">
        <v>1599.9999999999998</v>
      </c>
      <c r="AT173" s="23">
        <v>0</v>
      </c>
      <c r="AU173" s="23" t="s">
        <v>76</v>
      </c>
      <c r="AW173" s="40">
        <v>0</v>
      </c>
      <c r="AX173" s="39" t="s">
        <v>118</v>
      </c>
      <c r="AY173" s="103"/>
      <c r="AZ173" s="22"/>
      <c r="BA173" s="22"/>
      <c r="BB173" s="22"/>
      <c r="BC173" s="22"/>
      <c r="BD173" s="22"/>
      <c r="BE173" s="22"/>
      <c r="BF173" s="110" t="s">
        <v>77</v>
      </c>
      <c r="BG173" s="40" t="s">
        <v>63</v>
      </c>
      <c r="BI173" s="103" t="s">
        <v>77</v>
      </c>
      <c r="BJ173" s="110"/>
      <c r="BS173" s="39" t="s">
        <v>77</v>
      </c>
      <c r="BT173" s="40" t="s">
        <v>90</v>
      </c>
      <c r="BV173" s="23" t="s">
        <v>76</v>
      </c>
      <c r="BX173" s="23" t="s">
        <v>77</v>
      </c>
      <c r="BZ173" s="39" t="s">
        <v>77</v>
      </c>
    </row>
    <row r="174" spans="1:78" ht="15.75" thickBot="1" x14ac:dyDescent="0.3">
      <c r="A174">
        <v>2380</v>
      </c>
      <c r="B174" t="s">
        <v>58</v>
      </c>
      <c r="C174" t="s">
        <v>16</v>
      </c>
      <c r="D174" t="s">
        <v>210</v>
      </c>
      <c r="E174" s="33">
        <v>170000</v>
      </c>
      <c r="F174" s="35">
        <v>188000</v>
      </c>
      <c r="G174">
        <f t="shared" si="2"/>
        <v>188000</v>
      </c>
      <c r="H174" s="7">
        <v>0</v>
      </c>
      <c r="I174" s="8">
        <v>91.336899600828175</v>
      </c>
      <c r="J174" s="8">
        <v>3.6084654609753986</v>
      </c>
      <c r="K174" s="8">
        <v>5.0546349381964264</v>
      </c>
      <c r="L174" s="180">
        <v>0</v>
      </c>
      <c r="M174" s="180">
        <v>171713.37124955698</v>
      </c>
      <c r="N174" s="180">
        <v>6783.91506663375</v>
      </c>
      <c r="O174" s="181">
        <v>9502.7136838092829</v>
      </c>
      <c r="P174" s="186"/>
      <c r="Q174" s="23">
        <v>43</v>
      </c>
      <c r="R174" s="23">
        <v>43</v>
      </c>
      <c r="T174" s="23" t="s">
        <v>63</v>
      </c>
      <c r="U174" s="23" t="s">
        <v>63</v>
      </c>
      <c r="W174" s="98"/>
      <c r="X174" s="99"/>
      <c r="Y174" s="99"/>
      <c r="Z174" s="99"/>
      <c r="AA174" s="99"/>
      <c r="AB174" s="99"/>
      <c r="AC174" s="99"/>
      <c r="AD174" s="99"/>
      <c r="AE174" s="99"/>
      <c r="AF174" s="99"/>
      <c r="AG174" s="99"/>
      <c r="AH174" s="99"/>
      <c r="AI174" s="99"/>
      <c r="AJ174" s="101" t="s">
        <v>64</v>
      </c>
      <c r="AK174" s="40">
        <v>0</v>
      </c>
      <c r="AL174" s="23">
        <v>0</v>
      </c>
      <c r="AM174" s="23">
        <v>0</v>
      </c>
      <c r="AN174" s="23">
        <v>100</v>
      </c>
      <c r="AO174" s="23">
        <v>0</v>
      </c>
      <c r="AP174" s="23">
        <v>0</v>
      </c>
      <c r="AQ174" s="23">
        <v>0</v>
      </c>
      <c r="AR174" s="23">
        <v>0</v>
      </c>
      <c r="AS174" s="23">
        <v>6783.91506663375</v>
      </c>
      <c r="AT174" s="23">
        <v>0</v>
      </c>
      <c r="AU174" s="23" t="s">
        <v>76</v>
      </c>
      <c r="AW174" s="40">
        <v>0</v>
      </c>
      <c r="AX174" s="39" t="s">
        <v>118</v>
      </c>
      <c r="AY174" s="103"/>
      <c r="AZ174" s="22"/>
      <c r="BA174" s="22"/>
      <c r="BB174" s="22"/>
      <c r="BC174" s="22"/>
      <c r="BD174" s="22"/>
      <c r="BE174" s="22" t="s">
        <v>64</v>
      </c>
      <c r="BF174" s="110" t="s">
        <v>76</v>
      </c>
      <c r="BG174" s="40" t="s">
        <v>63</v>
      </c>
      <c r="BI174" s="103" t="s">
        <v>77</v>
      </c>
      <c r="BJ174" s="110"/>
      <c r="BS174" s="39" t="s">
        <v>77</v>
      </c>
      <c r="BT174" s="40" t="s">
        <v>90</v>
      </c>
      <c r="BV174" s="23" t="s">
        <v>76</v>
      </c>
      <c r="BX174" s="23" t="s">
        <v>77</v>
      </c>
      <c r="BZ174" s="39" t="s">
        <v>77</v>
      </c>
    </row>
    <row r="175" spans="1:78" ht="15.75" thickBot="1" x14ac:dyDescent="0.3">
      <c r="G175" s="73">
        <v>0</v>
      </c>
      <c r="W175" s="98"/>
      <c r="X175" s="99"/>
      <c r="Y175" s="99"/>
      <c r="Z175" s="99"/>
      <c r="AA175" s="99"/>
      <c r="AB175" s="99"/>
      <c r="AC175" s="99"/>
      <c r="AD175" s="99"/>
      <c r="AE175" s="99"/>
      <c r="AF175" s="99"/>
      <c r="AG175" s="99"/>
      <c r="AH175" s="99"/>
      <c r="AI175" s="99"/>
      <c r="AY175" s="103"/>
      <c r="AZ175" s="22"/>
      <c r="BA175" s="22"/>
      <c r="BB175" s="22"/>
      <c r="BC175" s="22"/>
      <c r="BD175" s="22"/>
      <c r="BE175" s="22"/>
      <c r="BF175" s="110"/>
      <c r="BI175" s="103"/>
      <c r="BJ175" s="110"/>
    </row>
    <row r="176" spans="1:78" x14ac:dyDescent="0.25">
      <c r="E176" s="255" t="s">
        <v>309</v>
      </c>
      <c r="F176" s="165" t="s">
        <v>307</v>
      </c>
      <c r="G176" s="256" t="s">
        <v>308</v>
      </c>
      <c r="H176" s="256"/>
      <c r="I176" s="256"/>
      <c r="J176" s="256"/>
      <c r="K176" s="256"/>
      <c r="L176" s="256"/>
      <c r="M176" s="256"/>
      <c r="N176" s="256"/>
      <c r="O176" s="256"/>
      <c r="P176" s="200"/>
      <c r="Q176" s="269" t="s">
        <v>334</v>
      </c>
      <c r="R176" s="269"/>
      <c r="S176" s="270"/>
      <c r="T176" s="102" t="s">
        <v>181</v>
      </c>
      <c r="U176" s="102" t="s">
        <v>182</v>
      </c>
      <c r="W176" s="106" t="s">
        <v>119</v>
      </c>
      <c r="X176" s="107" t="s">
        <v>120</v>
      </c>
      <c r="Y176" s="107" t="s">
        <v>121</v>
      </c>
      <c r="Z176" s="107" t="s">
        <v>122</v>
      </c>
      <c r="AA176" s="107" t="s">
        <v>123</v>
      </c>
      <c r="AB176" s="107" t="s">
        <v>124</v>
      </c>
      <c r="AC176" s="107" t="s">
        <v>125</v>
      </c>
      <c r="AD176" s="107" t="s">
        <v>126</v>
      </c>
      <c r="AE176" s="107" t="s">
        <v>127</v>
      </c>
      <c r="AF176" s="107" t="s">
        <v>128</v>
      </c>
      <c r="AG176" s="107" t="s">
        <v>129</v>
      </c>
      <c r="AH176" s="107" t="s">
        <v>130</v>
      </c>
      <c r="AI176" s="107"/>
      <c r="AJ176" s="114"/>
      <c r="AK176" s="50" t="s">
        <v>119</v>
      </c>
      <c r="AL176" s="55" t="s">
        <v>120</v>
      </c>
      <c r="AM176" s="55" t="s">
        <v>139</v>
      </c>
      <c r="AN176" s="55" t="s">
        <v>140</v>
      </c>
      <c r="AO176" s="55" t="s">
        <v>124</v>
      </c>
      <c r="AP176" s="55" t="s">
        <v>141</v>
      </c>
      <c r="AQ176" s="55" t="s">
        <v>142</v>
      </c>
      <c r="AR176" s="55" t="s">
        <v>143</v>
      </c>
      <c r="AS176" s="55" t="s">
        <v>144</v>
      </c>
      <c r="AT176" s="55" t="s">
        <v>145</v>
      </c>
      <c r="AU176" s="51" t="s">
        <v>146</v>
      </c>
      <c r="AV176" s="53"/>
      <c r="AY176" s="45" t="s">
        <v>354</v>
      </c>
      <c r="AZ176" s="46" t="s">
        <v>151</v>
      </c>
      <c r="BA176" s="46" t="s">
        <v>353</v>
      </c>
      <c r="BB176" s="46" t="s">
        <v>153</v>
      </c>
      <c r="BC176" s="46" t="s">
        <v>355</v>
      </c>
      <c r="BD176" s="46" t="s">
        <v>155</v>
      </c>
      <c r="BE176" s="46" t="s">
        <v>156</v>
      </c>
      <c r="BF176" s="47" t="s">
        <v>146</v>
      </c>
      <c r="BK176" s="30" t="s">
        <v>167</v>
      </c>
      <c r="BL176" s="31" t="s">
        <v>168</v>
      </c>
      <c r="BM176" s="31" t="s">
        <v>169</v>
      </c>
      <c r="BN176" s="31" t="s">
        <v>170</v>
      </c>
      <c r="BO176" s="31" t="s">
        <v>171</v>
      </c>
      <c r="BP176" s="31" t="s">
        <v>172</v>
      </c>
      <c r="BQ176" s="31"/>
      <c r="BR176" s="32" t="s">
        <v>195</v>
      </c>
      <c r="BU176" s="23" t="s">
        <v>177</v>
      </c>
      <c r="BW176" s="23" t="s">
        <v>179</v>
      </c>
      <c r="BY176" s="23" t="s">
        <v>178</v>
      </c>
    </row>
    <row r="177" spans="4:77" ht="15.75" thickBot="1" x14ac:dyDescent="0.3">
      <c r="E177" s="255"/>
      <c r="F177" s="158"/>
      <c r="G177" s="62" t="s">
        <v>305</v>
      </c>
      <c r="H177" s="62"/>
      <c r="I177" s="62"/>
      <c r="J177" s="62"/>
      <c r="K177" s="62"/>
      <c r="L177" s="62" t="s">
        <v>317</v>
      </c>
      <c r="M177" s="62" t="s">
        <v>318</v>
      </c>
      <c r="N177" s="62" t="s">
        <v>319</v>
      </c>
      <c r="O177" s="62" t="s">
        <v>320</v>
      </c>
      <c r="P177" s="201"/>
      <c r="Q177" s="197" t="s">
        <v>208</v>
      </c>
      <c r="R177" s="197" t="s">
        <v>79</v>
      </c>
      <c r="S177" s="202" t="s">
        <v>80</v>
      </c>
      <c r="T177" s="102"/>
      <c r="U177" s="102"/>
      <c r="W177" s="106"/>
      <c r="X177" s="107"/>
      <c r="Y177" s="107"/>
      <c r="Z177" s="107"/>
      <c r="AA177" s="107"/>
      <c r="AB177" s="107"/>
      <c r="AC177" s="107"/>
      <c r="AD177" s="107"/>
      <c r="AE177" s="107"/>
      <c r="AF177" s="107"/>
      <c r="AG177" s="107"/>
      <c r="AH177" s="107"/>
      <c r="AI177" s="107"/>
      <c r="AJ177" s="114"/>
      <c r="AK177" s="52"/>
      <c r="AL177" s="49"/>
      <c r="AM177" s="49"/>
      <c r="AN177" s="49"/>
      <c r="AO177" s="49"/>
      <c r="AP177" s="49"/>
      <c r="AQ177" s="49"/>
      <c r="AR177" s="49"/>
      <c r="AS177" s="49"/>
      <c r="AT177" s="49"/>
      <c r="AU177" s="53"/>
      <c r="AV177" s="53"/>
      <c r="AW177" s="40">
        <f>COUNTA(AW3:AW174)</f>
        <v>85</v>
      </c>
      <c r="AY177" s="57"/>
      <c r="AZ177" s="48"/>
      <c r="BA177" s="48"/>
      <c r="BB177" s="48"/>
      <c r="BC177" s="48"/>
      <c r="BD177" s="48"/>
      <c r="BE177" s="48"/>
      <c r="BF177" s="61"/>
      <c r="BH177" s="39" t="s">
        <v>63</v>
      </c>
      <c r="BI177" s="40">
        <f>COUNTIF(BI3:BI174,"NO")</f>
        <v>2</v>
      </c>
      <c r="BR177" s="39"/>
      <c r="BU177" s="23">
        <f>COUNTA(BU3:BU174)</f>
        <v>12</v>
      </c>
      <c r="BW177" s="23">
        <f>COUNTA(BW3:BW174)</f>
        <v>12</v>
      </c>
      <c r="BY177" s="23">
        <f>COUNTA(BY3:BY174)</f>
        <v>10</v>
      </c>
    </row>
    <row r="178" spans="4:77" ht="15.75" thickBot="1" x14ac:dyDescent="0.3">
      <c r="D178" t="s">
        <v>298</v>
      </c>
      <c r="E178" s="120">
        <f>AVERAGE(E3:E174)</f>
        <v>237223.04848484849</v>
      </c>
      <c r="F178" s="120">
        <f>AVERAGE(F3:F174)</f>
        <v>190072.56367251463</v>
      </c>
      <c r="G178" s="60">
        <f>AVERAGE(G3:G174)</f>
        <v>185077.25449664428</v>
      </c>
      <c r="H178" s="23"/>
      <c r="I178" s="23"/>
      <c r="J178" s="23"/>
      <c r="K178" s="144" t="s">
        <v>315</v>
      </c>
      <c r="L178" s="120">
        <f>AVERAGE(L3:L174)</f>
        <v>14896.476550657677</v>
      </c>
      <c r="M178" s="120">
        <f>AVERAGE(M3:M174)</f>
        <v>156993.51484797758</v>
      </c>
      <c r="N178" s="120">
        <f>AVERAGE(N3:N174)</f>
        <v>7589.7490655191805</v>
      </c>
      <c r="O178" s="120">
        <f>AVERAGE(O3:O174)</f>
        <v>5597.5140324898875</v>
      </c>
      <c r="P178" s="203"/>
      <c r="Q178" s="198">
        <f>AVERAGE(Q3:Q174)</f>
        <v>49.923040540540548</v>
      </c>
      <c r="R178" s="198">
        <f>AVERAGE(R3:R174)</f>
        <v>30.733932584269663</v>
      </c>
      <c r="S178" s="204">
        <f>AVERAGE(S3:S174)</f>
        <v>33.616533333333329</v>
      </c>
      <c r="T178" s="31"/>
      <c r="U178" s="32"/>
      <c r="W178" s="74">
        <f t="shared" ref="W178:AH178" si="7">AVERAGE(W3:W174)</f>
        <v>5.0352177380931913</v>
      </c>
      <c r="X178" s="75">
        <f t="shared" si="7"/>
        <v>6.6916641200536535</v>
      </c>
      <c r="Y178" s="75">
        <f t="shared" si="7"/>
        <v>38.796413369789605</v>
      </c>
      <c r="Z178" s="75">
        <f t="shared" si="7"/>
        <v>10.720868489886485</v>
      </c>
      <c r="AA178" s="75">
        <f t="shared" si="7"/>
        <v>20.859807320722862</v>
      </c>
      <c r="AB178" s="75">
        <f t="shared" si="7"/>
        <v>17.896028961454203</v>
      </c>
      <c r="AC178" s="109">
        <f t="shared" si="7"/>
        <v>451.07681051601344</v>
      </c>
      <c r="AD178" s="109">
        <f t="shared" si="7"/>
        <v>687.11445656750675</v>
      </c>
      <c r="AE178" s="109">
        <f t="shared" si="7"/>
        <v>13870.676410207056</v>
      </c>
      <c r="AF178" s="109">
        <f t="shared" si="7"/>
        <v>4370.0252899548068</v>
      </c>
      <c r="AG178" s="109">
        <f t="shared" si="7"/>
        <v>3970.1574412423561</v>
      </c>
      <c r="AH178" s="109">
        <f t="shared" si="7"/>
        <v>1771.0691884864098</v>
      </c>
      <c r="AI178" s="109"/>
      <c r="AK178" s="64">
        <f t="shared" ref="AK178:AT178" si="8">AVERAGE(AK3:AK174)</f>
        <v>6.3369886369684121</v>
      </c>
      <c r="AL178" s="65">
        <f t="shared" si="8"/>
        <v>4.9319696544478235</v>
      </c>
      <c r="AM178" s="65">
        <f t="shared" si="8"/>
        <v>11.357898101713415</v>
      </c>
      <c r="AN178" s="65">
        <f t="shared" si="8"/>
        <v>72.390005792201464</v>
      </c>
      <c r="AO178" s="65">
        <f t="shared" si="8"/>
        <v>4.9831378146688703</v>
      </c>
      <c r="AP178" s="66">
        <f t="shared" si="8"/>
        <v>544.05063310848459</v>
      </c>
      <c r="AQ178" s="66">
        <f t="shared" si="8"/>
        <v>396.11610128514604</v>
      </c>
      <c r="AR178" s="66">
        <f t="shared" si="8"/>
        <v>812.77478721887076</v>
      </c>
      <c r="AS178" s="66">
        <f t="shared" si="8"/>
        <v>10777.167664157167</v>
      </c>
      <c r="AT178" s="66">
        <f t="shared" si="8"/>
        <v>162.90048908435253</v>
      </c>
      <c r="AU178" s="35" t="s">
        <v>76</v>
      </c>
      <c r="AV178" s="32" t="s">
        <v>180</v>
      </c>
      <c r="AW178" s="30">
        <f>AVERAGE(AW3:AW174)</f>
        <v>3465.9754117647058</v>
      </c>
      <c r="AX178" s="32" t="s">
        <v>180</v>
      </c>
      <c r="AY178" s="40">
        <f t="shared" ref="AY178:BD178" si="9">AVERAGE(AY3:AY174)</f>
        <v>14.622692307692308</v>
      </c>
      <c r="AZ178" s="23">
        <f t="shared" si="9"/>
        <v>3744.0928571428572</v>
      </c>
      <c r="BA178" s="23">
        <f t="shared" si="9"/>
        <v>16.828096682248319</v>
      </c>
      <c r="BB178" s="23">
        <f t="shared" si="9"/>
        <v>970.81903846153841</v>
      </c>
      <c r="BC178" s="23">
        <f t="shared" si="9"/>
        <v>9.0187500000000007</v>
      </c>
      <c r="BD178" s="23">
        <f t="shared" si="9"/>
        <v>438.065</v>
      </c>
      <c r="BI178" s="45" t="s">
        <v>180</v>
      </c>
      <c r="BJ178" s="32">
        <f t="shared" ref="BJ178:BR178" si="10">AVERAGE(BJ3:BJ174)</f>
        <v>-5.0869565217391308</v>
      </c>
      <c r="BK178" s="33" t="e">
        <f t="shared" si="10"/>
        <v>#DIV/0!</v>
      </c>
      <c r="BL178" s="34" t="e">
        <f t="shared" si="10"/>
        <v>#DIV/0!</v>
      </c>
      <c r="BM178" s="34">
        <f t="shared" si="10"/>
        <v>1.5</v>
      </c>
      <c r="BN178" s="34">
        <f t="shared" si="10"/>
        <v>4.5999999999999996</v>
      </c>
      <c r="BO178" s="34" t="e">
        <f t="shared" si="10"/>
        <v>#DIV/0!</v>
      </c>
      <c r="BP178" s="34" t="e">
        <f t="shared" si="10"/>
        <v>#DIV/0!</v>
      </c>
      <c r="BQ178" s="34" t="e">
        <f t="shared" si="10"/>
        <v>#DIV/0!</v>
      </c>
      <c r="BR178" s="35" t="e">
        <f t="shared" si="10"/>
        <v>#DIV/0!</v>
      </c>
      <c r="BU178" s="75">
        <f>AVERAGE(BU3:BU174)</f>
        <v>24051.857499999998</v>
      </c>
      <c r="BV178" s="75"/>
      <c r="BW178" s="75">
        <f>AVERAGE(BW3:BW174)</f>
        <v>24051.857499999998</v>
      </c>
      <c r="BX178" s="75"/>
      <c r="BY178" s="75">
        <f>AVERAGE(BY3:BY174)</f>
        <v>53.180605659254937</v>
      </c>
    </row>
    <row r="179" spans="4:77" ht="15.75" thickBot="1" x14ac:dyDescent="0.3">
      <c r="E179" s="23"/>
      <c r="F179" s="23"/>
      <c r="H179" s="23"/>
      <c r="I179" s="23"/>
      <c r="J179" s="23"/>
      <c r="K179" s="144" t="s">
        <v>316</v>
      </c>
      <c r="L179" s="120">
        <f>SUM(L3:L174)</f>
        <v>2219575.0060479939</v>
      </c>
      <c r="M179" s="120">
        <f t="shared" ref="M179:O179" si="11">SUM(M3:M174)</f>
        <v>23392033.712348659</v>
      </c>
      <c r="N179" s="120">
        <f t="shared" si="11"/>
        <v>1130872.6107623579</v>
      </c>
      <c r="O179" s="120">
        <f t="shared" si="11"/>
        <v>834029.59084099322</v>
      </c>
      <c r="P179" s="205"/>
      <c r="Q179" s="2"/>
      <c r="R179" s="2"/>
      <c r="S179" s="6"/>
      <c r="U179" s="39"/>
      <c r="AB179" s="30"/>
      <c r="AC179" s="134" t="s">
        <v>339</v>
      </c>
      <c r="AD179" s="134" t="s">
        <v>340</v>
      </c>
      <c r="AE179" s="134" t="s">
        <v>340</v>
      </c>
      <c r="AF179" s="134" t="s">
        <v>340</v>
      </c>
      <c r="AG179" s="134" t="s">
        <v>340</v>
      </c>
      <c r="AH179" s="135" t="s">
        <v>340</v>
      </c>
      <c r="AI179" s="135"/>
      <c r="AJ179" s="225">
        <f>COUNTIF(AJ3:AJ174,"Yes")</f>
        <v>98</v>
      </c>
      <c r="AK179" s="118"/>
      <c r="AL179" s="119"/>
      <c r="AM179" s="119"/>
      <c r="AN179" s="119"/>
      <c r="AO179" s="119"/>
      <c r="AT179" s="109"/>
      <c r="AU179" s="22" t="s">
        <v>189</v>
      </c>
      <c r="AV179" s="101" t="s">
        <v>186</v>
      </c>
      <c r="AW179" s="40">
        <f>AVERAGEIF(AW3:AW174,"&gt;0",AW3:AW174)</f>
        <v>7752.8397368421047</v>
      </c>
      <c r="AX179" s="39" t="s">
        <v>186</v>
      </c>
      <c r="AY179" s="33">
        <f t="shared" ref="AY179:BD179" si="12">AVERAGEIF(AY3:AY174,"&gt;0",AY3:AY174)</f>
        <v>22.364117647058823</v>
      </c>
      <c r="AZ179" s="34">
        <f t="shared" si="12"/>
        <v>5824.1444444444451</v>
      </c>
      <c r="BA179" s="34">
        <f t="shared" si="12"/>
        <v>28.046827803747199</v>
      </c>
      <c r="BB179" s="34">
        <f t="shared" si="12"/>
        <v>1402.2941666666666</v>
      </c>
      <c r="BC179" s="34">
        <f t="shared" si="12"/>
        <v>20.614285714285717</v>
      </c>
      <c r="BD179" s="34">
        <f t="shared" si="12"/>
        <v>1168.1733333333334</v>
      </c>
      <c r="BE179" s="34"/>
      <c r="BI179" s="57">
        <v>0</v>
      </c>
      <c r="BJ179" s="39">
        <f>COUNTIF(BJ3:BJ174,"0")</f>
        <v>19</v>
      </c>
    </row>
    <row r="180" spans="4:77" ht="45.75" thickBot="1" x14ac:dyDescent="0.3">
      <c r="G180" s="159"/>
      <c r="K180" s="2"/>
      <c r="L180" s="174" t="s">
        <v>321</v>
      </c>
      <c r="M180" s="174" t="s">
        <v>322</v>
      </c>
      <c r="N180" s="174" t="s">
        <v>323</v>
      </c>
      <c r="O180" s="194" t="s">
        <v>324</v>
      </c>
      <c r="P180" s="206" t="s">
        <v>333</v>
      </c>
      <c r="Q180" s="2"/>
      <c r="R180" s="2"/>
      <c r="S180" s="6"/>
      <c r="U180" s="39"/>
      <c r="V180" s="23"/>
      <c r="W180" s="23"/>
      <c r="AA180" s="75">
        <f>SUM(AC180:AH180)</f>
        <v>25120.119596974149</v>
      </c>
      <c r="AB180" s="221" t="s">
        <v>341</v>
      </c>
      <c r="AC180" s="218">
        <f>AVERAGE(AC3:AC173)</f>
        <v>451.07681051601344</v>
      </c>
      <c r="AD180" s="218">
        <f t="shared" ref="AD180:AG180" si="13">AVERAGE(AD3:AD173)</f>
        <v>687.11445656750675</v>
      </c>
      <c r="AE180" s="218">
        <f t="shared" si="13"/>
        <v>13870.676410207056</v>
      </c>
      <c r="AF180" s="218">
        <f t="shared" si="13"/>
        <v>4370.0252899548068</v>
      </c>
      <c r="AG180" s="218">
        <f t="shared" si="13"/>
        <v>3970.1574412423561</v>
      </c>
      <c r="AH180" s="226">
        <f>AVERAGE(AH3:AH173)</f>
        <v>1771.0691884864098</v>
      </c>
      <c r="AI180" s="249">
        <f>SUM(AC180:AH180)</f>
        <v>25120.119596974149</v>
      </c>
      <c r="AJ180" s="215">
        <f>COUNTIF(AJ3:AJ174,"Two")</f>
        <v>8</v>
      </c>
      <c r="AO180" s="23" t="s">
        <v>277</v>
      </c>
      <c r="AP180" s="23">
        <f>SUM(AP3:AP175)</f>
        <v>36451.392418268464</v>
      </c>
      <c r="AQ180" s="23">
        <f>SUM(AQ3:AQ175)</f>
        <v>26539.778786104784</v>
      </c>
      <c r="AR180" s="23">
        <f>SUM(AR3:AR175)</f>
        <v>54455.910743664339</v>
      </c>
      <c r="AS180" s="23">
        <f>SUM(AS3:AS175)</f>
        <v>722070.23349853011</v>
      </c>
      <c r="AT180" s="23">
        <f>SUM(AT3:AT175)</f>
        <v>10914.332768651619</v>
      </c>
      <c r="AU180" s="100">
        <f>SUM(AP180:AT180)</f>
        <v>850431.64821521938</v>
      </c>
      <c r="AV180" s="37"/>
      <c r="AW180" s="33"/>
      <c r="AX180" s="35" t="s">
        <v>185</v>
      </c>
      <c r="AY180" s="40">
        <f t="shared" ref="AY180:BD180" si="14">COUNTA(AY3:AY174)</f>
        <v>26</v>
      </c>
      <c r="AZ180" s="23">
        <f t="shared" si="14"/>
        <v>14</v>
      </c>
      <c r="BA180" s="23">
        <f t="shared" si="14"/>
        <v>25</v>
      </c>
      <c r="BB180" s="23">
        <f t="shared" si="14"/>
        <v>13</v>
      </c>
      <c r="BC180" s="23">
        <f t="shared" si="14"/>
        <v>16</v>
      </c>
      <c r="BD180" s="23">
        <f t="shared" si="14"/>
        <v>8</v>
      </c>
      <c r="BF180" s="112" t="s">
        <v>187</v>
      </c>
      <c r="BG180" s="50">
        <f>COUNTIF(BG3:BG174,"Other")</f>
        <v>22</v>
      </c>
      <c r="BH180" s="53"/>
      <c r="BI180" s="58" t="s">
        <v>199</v>
      </c>
      <c r="BJ180" s="39">
        <f>COUNTIF(BJ3:BJ174,"&gt;0")</f>
        <v>1</v>
      </c>
      <c r="BS180" s="36" t="s">
        <v>89</v>
      </c>
      <c r="BT180" s="36">
        <f>COUNTIF(BT3:BT174,"Yes")</f>
        <v>18</v>
      </c>
    </row>
    <row r="181" spans="4:77" x14ac:dyDescent="0.25">
      <c r="E181" s="70" t="s">
        <v>209</v>
      </c>
      <c r="F181" s="71" t="s">
        <v>310</v>
      </c>
      <c r="G181" s="71" t="s">
        <v>311</v>
      </c>
      <c r="H181" s="72" t="s">
        <v>287</v>
      </c>
      <c r="K181" s="170" t="s">
        <v>301</v>
      </c>
      <c r="L181" s="171">
        <f>L179</f>
        <v>2219575.0060479939</v>
      </c>
      <c r="M181" s="171">
        <f>SUM(M182:M185)</f>
        <v>23392033.712348655</v>
      </c>
      <c r="N181" s="171">
        <f t="shared" ref="N181:O181" si="15">SUM(N182:N185)</f>
        <v>1130872.6107623582</v>
      </c>
      <c r="O181" s="195">
        <f t="shared" si="15"/>
        <v>834029.5908409931</v>
      </c>
      <c r="P181" s="205" t="s">
        <v>301</v>
      </c>
      <c r="Q181" s="199">
        <f>Q178</f>
        <v>49.923040540540548</v>
      </c>
      <c r="R181" s="199">
        <f t="shared" ref="R181:S181" si="16">R178</f>
        <v>30.733932584269663</v>
      </c>
      <c r="S181" s="207">
        <f t="shared" si="16"/>
        <v>33.616533333333329</v>
      </c>
      <c r="U181" s="39"/>
      <c r="V181" s="23"/>
      <c r="W181" s="23"/>
      <c r="AB181" s="221" t="s">
        <v>211</v>
      </c>
      <c r="AC181" s="20">
        <f ca="1">AVERAGEIF(D3:D174,"Midwest",AC3:AC173)</f>
        <v>358.16103333333342</v>
      </c>
      <c r="AD181" s="20">
        <f ca="1">AVERAGEIF(D3:D174,"Midwest",AD3:AD173)</f>
        <v>342.20636666666667</v>
      </c>
      <c r="AE181" s="20">
        <f ca="1">AVERAGEIF(D3:D174,"Midwest",AE3:AE173)</f>
        <v>4093.0069999999992</v>
      </c>
      <c r="AF181" s="20">
        <f ca="1">AVERAGEIF(D3:G174,"Midwest",AF3:AF173)</f>
        <v>1068.7005466666667</v>
      </c>
      <c r="AG181" s="20">
        <f ca="1">AVERAGEIF(D3:D174,"Midwest",AG3:AG173)</f>
        <v>129.05393999999998</v>
      </c>
      <c r="AH181" s="227">
        <f ca="1">AVERAGEIF(D3:D174,"Midwest",AH3:AH173)</f>
        <v>807.6179800000001</v>
      </c>
      <c r="AI181" s="249">
        <f t="shared" ref="AI181:AI184" ca="1" si="17">SUM(AC181:AH181)</f>
        <v>6798.7468666666655</v>
      </c>
      <c r="AJ181" s="215">
        <f>COUNTIF(AJ3:AJ174,"No")</f>
        <v>51</v>
      </c>
      <c r="AO181" s="23" t="s">
        <v>278</v>
      </c>
      <c r="AP181" s="23">
        <f>AP180/AU180</f>
        <v>4.2862224724077629E-2</v>
      </c>
      <c r="AQ181" s="23">
        <f>AQ180/AU180</f>
        <v>3.1207421362790512E-2</v>
      </c>
      <c r="AR181" s="23">
        <f>AR180/AU180</f>
        <v>6.403325988390679E-2</v>
      </c>
      <c r="AS181" s="23">
        <f>AS180/AU180</f>
        <v>0.84906321985302602</v>
      </c>
      <c r="AT181" s="23">
        <f>AT180/AU180</f>
        <v>1.2833874176198955E-2</v>
      </c>
      <c r="AY181" s="40" t="str">
        <f>AY176</f>
        <v>Commercial Wood Chips</v>
      </c>
      <c r="AZ181" s="23" t="str">
        <f>BA176</f>
        <v>Residential Wood Chip</v>
      </c>
      <c r="BA181" s="23" t="str">
        <f>BC176</f>
        <v>Other Uses</v>
      </c>
      <c r="BF181" s="122" t="s">
        <v>188</v>
      </c>
      <c r="BG181" s="52">
        <f>COUNTIF(BG3:BG174,"Repair")</f>
        <v>1</v>
      </c>
      <c r="BH181" s="53"/>
      <c r="BI181" s="58" t="s">
        <v>200</v>
      </c>
      <c r="BJ181" s="39">
        <f>COUNTIF(BJ3:BJ174,"&lt;0")</f>
        <v>3</v>
      </c>
      <c r="BS181" s="101" t="s">
        <v>90</v>
      </c>
      <c r="BT181" s="101">
        <f>COUNTIF(BT3:BT174,"No")</f>
        <v>105</v>
      </c>
    </row>
    <row r="182" spans="4:77" ht="15.75" thickBot="1" x14ac:dyDescent="0.3">
      <c r="E182" s="5" t="s">
        <v>301</v>
      </c>
      <c r="F182" s="2">
        <v>1343</v>
      </c>
      <c r="G182" s="24">
        <f>G178</f>
        <v>185077.25449664428</v>
      </c>
      <c r="H182" s="166">
        <f>F182*G182</f>
        <v>248558752.78899327</v>
      </c>
      <c r="K182" s="2" t="s">
        <v>211</v>
      </c>
      <c r="L182" s="24">
        <f>SUMIF(D3:D174,"Midwest",L3:L174)</f>
        <v>110625.34856701884</v>
      </c>
      <c r="M182" s="24">
        <f>SUMIF(D3:D174,"Midwest",M3:M174)</f>
        <v>3651442.5648734742</v>
      </c>
      <c r="N182" s="24">
        <f>SUMIF(D3:D174,"Midwest",N3:N174)</f>
        <v>45574.05811506226</v>
      </c>
      <c r="O182" s="196">
        <f>SUMIF(D3:D174,"Midwest",O3:O174)</f>
        <v>70098.838444444438</v>
      </c>
      <c r="P182" s="205" t="s">
        <v>211</v>
      </c>
      <c r="Q182" s="199">
        <f>AVERAGEIF(D3:D174,"Midwest",Q3:Q174)</f>
        <v>46.587142857142858</v>
      </c>
      <c r="R182" s="199">
        <f>AVERAGEIF(D3:D174,"Midwest",R3:R174)</f>
        <v>27.066666666666666</v>
      </c>
      <c r="S182" s="207">
        <f>AVERAGEIF(D3:D174,"Midwest",S3:S174)</f>
        <v>29</v>
      </c>
      <c r="U182" s="39"/>
      <c r="V182" s="23"/>
      <c r="W182" s="23"/>
      <c r="AB182" s="222" t="s">
        <v>210</v>
      </c>
      <c r="AC182" s="20">
        <f>AVERAGEIF(D3:D174,"South",AC3:AC174)</f>
        <v>937.9933144937188</v>
      </c>
      <c r="AD182" s="20">
        <f>AVERAGEIF(D3:D174,"South",AD3:AD174)</f>
        <v>1493.2704007906391</v>
      </c>
      <c r="AE182" s="20">
        <f>AVERAGEIF(D3:D174,"South",AE3:AE174)</f>
        <v>33496.803462528784</v>
      </c>
      <c r="AF182" s="20">
        <f>AVERAGEIF(D3:D174,"South",AF3:AF174)</f>
        <v>10494.892768556385</v>
      </c>
      <c r="AG182" s="20">
        <f>AVERAGEIF(D3:D174,"South",AG3:AG174)</f>
        <v>8083.6283589573459</v>
      </c>
      <c r="AH182" s="227">
        <f>AVERAGEIF(D3:D174,"South",AH3:AH174)</f>
        <v>4337.6456776420728</v>
      </c>
      <c r="AI182" s="249">
        <f t="shared" si="17"/>
        <v>58844.233982968944</v>
      </c>
      <c r="AJ182" s="216">
        <f>COUNTIF(AJ3:AJ174,"No Response")</f>
        <v>15</v>
      </c>
      <c r="AM182" s="23">
        <v>7589.7490655191805</v>
      </c>
      <c r="AO182" s="23" t="s">
        <v>279</v>
      </c>
      <c r="AP182" s="23">
        <f>AP181*AL186</f>
        <v>436896.0708512963</v>
      </c>
      <c r="AQ182" s="23">
        <f>(AQ181*AL186)</f>
        <v>318098.27563955</v>
      </c>
      <c r="AR182" s="23">
        <f>AR181*AL186</f>
        <v>652693.13077357621</v>
      </c>
      <c r="AS182" s="23">
        <f>AS181*AL186</f>
        <v>8654529.4147962611</v>
      </c>
      <c r="AT182" s="23">
        <f>AT181*AL186</f>
        <v>130816.10293157506</v>
      </c>
      <c r="AU182" s="23">
        <f>SUM(AP182:AT182)</f>
        <v>10193032.99499226</v>
      </c>
      <c r="AY182" s="254">
        <f>AY178</f>
        <v>14.622692307692308</v>
      </c>
      <c r="AZ182" s="183">
        <f>BA178</f>
        <v>16.828096682248319</v>
      </c>
      <c r="BA182" s="183">
        <f>BC178</f>
        <v>9.0187500000000007</v>
      </c>
      <c r="BF182" s="122" t="s">
        <v>90</v>
      </c>
      <c r="BG182" s="52">
        <f>COUNTIF(BG3:BG174,"No")</f>
        <v>69</v>
      </c>
      <c r="BH182" s="53"/>
      <c r="BI182" s="57"/>
      <c r="BS182" s="101" t="s">
        <v>77</v>
      </c>
      <c r="BT182" s="101">
        <f>COUNTIF(BT3:BT174,"No Response")</f>
        <v>49</v>
      </c>
    </row>
    <row r="183" spans="4:77" x14ac:dyDescent="0.25">
      <c r="E183" s="5" t="s">
        <v>211</v>
      </c>
      <c r="F183" s="2">
        <v>106</v>
      </c>
      <c r="G183" s="24">
        <f>AVERAGEIF(D3:D174,"Midwest",G3:G174)</f>
        <v>129258.02699999999</v>
      </c>
      <c r="H183" s="6"/>
      <c r="K183" s="2" t="s">
        <v>210</v>
      </c>
      <c r="L183" s="24">
        <f>SUMIF(D3:D174,"South",L3:L174)</f>
        <v>1672003.0310293485</v>
      </c>
      <c r="M183" s="24">
        <f>SUMIF(D3:D174,"South",M3:M174)</f>
        <v>9923364.0895883795</v>
      </c>
      <c r="N183" s="24">
        <f>SUMIF(D3:D174,"South",N3:N174)</f>
        <v>764264.33092031325</v>
      </c>
      <c r="O183" s="196">
        <f>SUMIF(D3:D174,"South",O3:O174)</f>
        <v>342655.52846195985</v>
      </c>
      <c r="P183" s="205" t="s">
        <v>210</v>
      </c>
      <c r="Q183" s="199">
        <f>AVERAGEIF(D3:D174,"South",Q3:Q174)</f>
        <v>47.228076923076934</v>
      </c>
      <c r="R183" s="199">
        <f>AVERAGEIF(D3:D174,"South",R3:R174)</f>
        <v>34.322631578947366</v>
      </c>
      <c r="S183" s="207">
        <f>AVERAGEIF(D3:D174,"South",S3:S174)</f>
        <v>36.361874999999998</v>
      </c>
      <c r="U183" s="39"/>
      <c r="V183" s="23"/>
      <c r="W183" s="23"/>
      <c r="AB183" s="223" t="s">
        <v>213</v>
      </c>
      <c r="AC183" s="20">
        <f>AVERAGEIF(D3:D174,"Northeast",AC3:AC174)</f>
        <v>593.10591365247433</v>
      </c>
      <c r="AD183" s="20">
        <f>AVERAGEIF(D3:D174,"Northeast",AD3:AD174)</f>
        <v>473.10591365247421</v>
      </c>
      <c r="AE183" s="20">
        <f>AVERAGEIF(D3:D174,"Northeast",AE3:AE174)</f>
        <v>16140.843482617336</v>
      </c>
      <c r="AF183" s="20">
        <f>AVERAGEIF(D3:D174,"Northeast",AF3:AF174)</f>
        <v>685.67769576044134</v>
      </c>
      <c r="AG183" s="20">
        <f>AVERAGEIF(D3:D174,"Northeast",AG3:AG174)</f>
        <v>222</v>
      </c>
      <c r="AH183" s="227">
        <f>AVERAGEIF(D3:D174,"Northeast",AH3:AH174)</f>
        <v>861.66744628708909</v>
      </c>
      <c r="AI183" s="249">
        <f t="shared" si="17"/>
        <v>18976.400451969817</v>
      </c>
      <c r="AJ183" s="39">
        <f>SUM(AJ179:AJ181)</f>
        <v>157</v>
      </c>
      <c r="AO183" s="22" t="s">
        <v>280</v>
      </c>
      <c r="AP183" s="109">
        <f>AM182*AP181</f>
        <v>325.3135300456413</v>
      </c>
      <c r="AQ183" s="109">
        <f>AM182*AQ181</f>
        <v>236.85649712550259</v>
      </c>
      <c r="AR183" s="109">
        <f>AM182*AR181</f>
        <v>485.99637436602836</v>
      </c>
      <c r="AS183" s="109">
        <f>AS181*AM182</f>
        <v>6444.1767794462103</v>
      </c>
      <c r="AT183" s="109">
        <f>AT181*AM182</f>
        <v>97.405884535796758</v>
      </c>
      <c r="BF183" s="122" t="s">
        <v>77</v>
      </c>
      <c r="BG183" s="52">
        <f>COUNTIF(BG3:BG174,"No Response")</f>
        <v>79</v>
      </c>
      <c r="BH183" s="53"/>
      <c r="BI183" s="57" t="s">
        <v>89</v>
      </c>
      <c r="BJ183" s="39">
        <f>COUNTIF(BI3:BI174,"Yes")</f>
        <v>23</v>
      </c>
      <c r="BS183" s="101" t="s">
        <v>189</v>
      </c>
      <c r="BT183" s="101">
        <f>BT180+BT181</f>
        <v>123</v>
      </c>
    </row>
    <row r="184" spans="4:77" ht="15.75" thickBot="1" x14ac:dyDescent="0.3">
      <c r="E184" s="5" t="s">
        <v>210</v>
      </c>
      <c r="F184" s="2">
        <v>525</v>
      </c>
      <c r="G184" s="24">
        <f>AVERAGEIF(D3:D174,"South",G3:G174)</f>
        <v>235227.53666666668</v>
      </c>
      <c r="H184" s="6"/>
      <c r="K184" s="2" t="s">
        <v>213</v>
      </c>
      <c r="L184" s="24">
        <f>SUMIF(D3:D174,"Northeast",L3:L174)</f>
        <v>95058.968551983897</v>
      </c>
      <c r="M184" s="24">
        <f>SUMIF(D3:D174,"Northeast",M3:M174)</f>
        <v>2821447.3258531163</v>
      </c>
      <c r="N184" s="24">
        <f>SUMIF(D3:D174,"Northeast",N3:N174)</f>
        <v>17342.038461743028</v>
      </c>
      <c r="O184" s="196">
        <f>SUMIF(D3:D174,"Northeast",O3:O174)</f>
        <v>86065.567133156728</v>
      </c>
      <c r="P184" s="205" t="s">
        <v>213</v>
      </c>
      <c r="Q184" s="199">
        <f>AVERAGEIF(D3:D174,"Northeast",Q3:Q174)</f>
        <v>61.82866666666667</v>
      </c>
      <c r="R184" s="199">
        <f>AVERAGEIF(D3:D174,"Northeast",R3:R174)</f>
        <v>23.944444444444443</v>
      </c>
      <c r="S184" s="207">
        <f>AVERAGEIF(D3:D174,"Northeast",S3:S174)</f>
        <v>41</v>
      </c>
      <c r="V184" s="23"/>
      <c r="W184" s="23"/>
      <c r="AB184" s="224" t="s">
        <v>212</v>
      </c>
      <c r="AC184" s="228">
        <f>AVERAGEIF(D3:D174,"West",AC3:AC174)</f>
        <v>57.392508885743261</v>
      </c>
      <c r="AD184" s="228">
        <f>AVERAGEIF(D3:D174,"West",AD3:AD174)</f>
        <v>257.57294259468597</v>
      </c>
      <c r="AE184" s="228">
        <f>AVERAGEIF(D3:D174,"West",AE3:AE174)</f>
        <v>2687.7053121470462</v>
      </c>
      <c r="AF184" s="228">
        <f>AVERAGEIF(D3:D174,"West",AF3:AF174)</f>
        <v>1998.036574661867</v>
      </c>
      <c r="AG184" s="228">
        <f>AVERAGEIF(D3:D174,"West",AG3:AG174)</f>
        <v>3713.110544309628</v>
      </c>
      <c r="AH184" s="229">
        <f>AVERAGEIF(D3:D174,"West",AH3:AH174)</f>
        <v>365.29732132030085</v>
      </c>
      <c r="AI184" s="249">
        <f t="shared" si="17"/>
        <v>9079.1152039192712</v>
      </c>
      <c r="AJ184" s="54">
        <f>AJ179/AJ183</f>
        <v>0.62420382165605093</v>
      </c>
      <c r="AY184" s="40">
        <f>AVERAGE(AY9:AY180)</f>
        <v>15.302844813138931</v>
      </c>
      <c r="BF184" s="122" t="s">
        <v>191</v>
      </c>
      <c r="BG184" s="40">
        <f>SUM(BG180:BG182)+BG185</f>
        <v>93</v>
      </c>
      <c r="BI184" s="57" t="s">
        <v>90</v>
      </c>
      <c r="BJ184" s="39">
        <f>COUNTIF(BI3:BI174,"No")</f>
        <v>2</v>
      </c>
      <c r="BS184" s="101"/>
      <c r="BT184" s="101"/>
    </row>
    <row r="185" spans="4:77" ht="15.75" thickBot="1" x14ac:dyDescent="0.3">
      <c r="E185" s="5" t="s">
        <v>213</v>
      </c>
      <c r="F185" s="2">
        <v>327</v>
      </c>
      <c r="G185" s="24">
        <f>AVERAGEIF(D3:D174,"Northeast",G3:G174)</f>
        <v>215708.13571428572</v>
      </c>
      <c r="H185" s="6"/>
      <c r="K185" s="2" t="s">
        <v>212</v>
      </c>
      <c r="L185" s="24">
        <f>SUMIF(D3:D174,"West",L3:L174)</f>
        <v>341887.65789964254</v>
      </c>
      <c r="M185" s="24">
        <f>SUMIF(D3:D174,"West",M3:M174)</f>
        <v>6995779.7320336858</v>
      </c>
      <c r="N185" s="24">
        <f>SUMIF(D3:D174,"West",N3:N174)</f>
        <v>303692.18326523964</v>
      </c>
      <c r="O185" s="196">
        <f>SUMIF(D3:D174,"West",O3:O174)</f>
        <v>335209.65680143214</v>
      </c>
      <c r="P185" s="208" t="s">
        <v>212</v>
      </c>
      <c r="Q185" s="209">
        <f>AVERAGEIF(D4:D175,"West",Q4:Q175)</f>
        <v>50.96</v>
      </c>
      <c r="R185" s="209">
        <f>AVERAGEIF(D4:D174,"West",R4:R175)</f>
        <v>29.9837037037037</v>
      </c>
      <c r="S185" s="210">
        <f>AVERAGEIF(D3:D174,"West",S4:S175)</f>
        <v>32.044782608695655</v>
      </c>
      <c r="V185" s="23"/>
      <c r="W185" s="23"/>
      <c r="AB185" s="220"/>
      <c r="AC185" s="134" t="s">
        <v>349</v>
      </c>
      <c r="AD185" s="134" t="s">
        <v>350</v>
      </c>
      <c r="AE185" s="134" t="s">
        <v>347</v>
      </c>
      <c r="AF185" s="134" t="s">
        <v>348</v>
      </c>
      <c r="AG185" s="134" t="s">
        <v>351</v>
      </c>
      <c r="AH185" s="135" t="s">
        <v>352</v>
      </c>
      <c r="AI185" s="108"/>
      <c r="AJ185" s="54">
        <f>AJ180/AJ183</f>
        <v>5.0955414012738856E-2</v>
      </c>
      <c r="AL185" s="23" t="s">
        <v>276</v>
      </c>
      <c r="AO185" s="151" t="s">
        <v>292</v>
      </c>
      <c r="AP185" s="146" t="s">
        <v>266</v>
      </c>
      <c r="AQ185" s="146" t="s">
        <v>293</v>
      </c>
      <c r="AR185" s="146" t="s">
        <v>273</v>
      </c>
      <c r="BF185" s="101" t="s">
        <v>160</v>
      </c>
      <c r="BG185" s="40">
        <f>COUNTIF(BG2:BG164,"Recycler")</f>
        <v>1</v>
      </c>
      <c r="BI185" s="57" t="s">
        <v>77</v>
      </c>
      <c r="BJ185" s="39">
        <f>COUNTIF(BI3:BI174,"No Response")</f>
        <v>147</v>
      </c>
      <c r="BS185" s="37" t="s">
        <v>197</v>
      </c>
      <c r="BT185" s="133">
        <f>BT180/BT183</f>
        <v>0.14634146341463414</v>
      </c>
    </row>
    <row r="186" spans="4:77" ht="15.75" thickBot="1" x14ac:dyDescent="0.3">
      <c r="E186" s="7" t="s">
        <v>212</v>
      </c>
      <c r="F186" s="8">
        <v>385</v>
      </c>
      <c r="G186" s="68">
        <f>AVERAGEIF(D3:D174,"West",G3:G174)</f>
        <v>156403.31823529414</v>
      </c>
      <c r="H186" s="9"/>
      <c r="I186" s="23"/>
      <c r="K186" s="2"/>
      <c r="L186" s="173" t="s">
        <v>326</v>
      </c>
      <c r="M186" s="173" t="s">
        <v>327</v>
      </c>
      <c r="N186" s="173" t="s">
        <v>325</v>
      </c>
      <c r="O186" s="173" t="s">
        <v>328</v>
      </c>
      <c r="P186" s="189"/>
      <c r="V186" s="23"/>
      <c r="W186" s="23"/>
      <c r="AB186" s="221" t="s">
        <v>341</v>
      </c>
      <c r="AC186" s="251">
        <f t="shared" ref="AC186:AH186" si="18">AC180/$AI180</f>
        <v>1.7956793906759427E-2</v>
      </c>
      <c r="AD186" s="251">
        <f t="shared" si="18"/>
        <v>2.7353152277597968E-2</v>
      </c>
      <c r="AE186" s="251">
        <f t="shared" si="18"/>
        <v>0.55217397977188976</v>
      </c>
      <c r="AF186" s="251">
        <f t="shared" si="18"/>
        <v>0.17396514666598958</v>
      </c>
      <c r="AG186" s="251">
        <f t="shared" si="18"/>
        <v>0.15804691637378121</v>
      </c>
      <c r="AH186" s="251">
        <f t="shared" si="18"/>
        <v>7.0504011003982014E-2</v>
      </c>
      <c r="AI186" s="251">
        <f>SUM(AC186:AH186)</f>
        <v>1</v>
      </c>
      <c r="AJ186" s="54">
        <f>AJ181/AJ183</f>
        <v>0.32484076433121017</v>
      </c>
      <c r="AL186" s="23">
        <v>10193032.99499226</v>
      </c>
      <c r="AM186" s="23" t="s">
        <v>272</v>
      </c>
      <c r="AO186" s="155" t="s">
        <v>272</v>
      </c>
      <c r="AP186" s="146">
        <f>AP181</f>
        <v>4.2862224724077629E-2</v>
      </c>
      <c r="AQ186" s="146">
        <f>AP182</f>
        <v>436896.0708512963</v>
      </c>
      <c r="AR186" s="146">
        <f>(AQ186*2000)/55</f>
        <v>15887129.849138048</v>
      </c>
      <c r="BF186" s="122" t="s">
        <v>192</v>
      </c>
      <c r="BG186" s="126">
        <f>BG181/BG184</f>
        <v>1.0752688172043012E-2</v>
      </c>
      <c r="BH186" s="54"/>
      <c r="BI186" s="57" t="s">
        <v>194</v>
      </c>
      <c r="BJ186" s="54">
        <f>(BJ183/25)</f>
        <v>0.92</v>
      </c>
    </row>
    <row r="187" spans="4:77" ht="15.75" thickBot="1" x14ac:dyDescent="0.3">
      <c r="G187" s="23"/>
      <c r="H187" s="23"/>
      <c r="I187" s="23"/>
      <c r="K187" s="170" t="s">
        <v>301</v>
      </c>
      <c r="L187" s="175">
        <f>SUM(L188:L191)</f>
        <v>0.99999999999999989</v>
      </c>
      <c r="M187" s="175">
        <f t="shared" ref="M187:O187" si="19">SUM(M188:M191)</f>
        <v>1</v>
      </c>
      <c r="N187" s="175">
        <f t="shared" si="19"/>
        <v>1</v>
      </c>
      <c r="O187" s="175">
        <f t="shared" si="19"/>
        <v>1.0000000000000002</v>
      </c>
      <c r="P187" s="190"/>
      <c r="V187" s="23"/>
      <c r="W187" s="75"/>
      <c r="AB187" s="221" t="s">
        <v>211</v>
      </c>
      <c r="AC187" s="251">
        <f ca="1">AC181/$AI181</f>
        <v>5.2680448376354244E-2</v>
      </c>
      <c r="AD187" s="251">
        <f ca="1">AD181/$AI181</f>
        <v>5.0333741405266627E-2</v>
      </c>
      <c r="AE187" s="251">
        <f t="shared" ref="AE187:AH190" ca="1" si="20">AE181/$AI181</f>
        <v>0.60202373764898609</v>
      </c>
      <c r="AF187" s="251">
        <f t="shared" ca="1" si="20"/>
        <v>0.15719081289911832</v>
      </c>
      <c r="AG187" s="251">
        <f t="shared" ca="1" si="20"/>
        <v>1.8982018676520222E-2</v>
      </c>
      <c r="AH187" s="251">
        <f t="shared" ca="1" si="20"/>
        <v>0.11878924099375454</v>
      </c>
      <c r="AI187" s="251">
        <f t="shared" ref="AI187:AI190" ca="1" si="21">SUM(AC187:AH187)</f>
        <v>1</v>
      </c>
      <c r="AJ187" s="39"/>
      <c r="AL187" s="23">
        <v>410778.25535925233</v>
      </c>
      <c r="AM187" s="23" t="s">
        <v>211</v>
      </c>
      <c r="AO187" s="151" t="s">
        <v>211</v>
      </c>
      <c r="AP187" s="156">
        <f>Midwest!AF41</f>
        <v>5.268044837635423E-2</v>
      </c>
      <c r="AQ187" s="146">
        <f>AL187*AP187</f>
        <v>21639.982675581949</v>
      </c>
      <c r="AR187" s="146">
        <f t="shared" ref="AR187:AR190" si="22">(AQ187*2000)/55</f>
        <v>786908.46093025256</v>
      </c>
      <c r="AW187" s="40">
        <f>COUNTIF(AW3:AW174,"0")</f>
        <v>47</v>
      </c>
      <c r="AX187" s="39">
        <f>AW188-AW187</f>
        <v>38</v>
      </c>
      <c r="BF187" s="123" t="s">
        <v>193</v>
      </c>
      <c r="BG187" s="127">
        <f>BG180/BG184</f>
        <v>0.23655913978494625</v>
      </c>
      <c r="BH187" s="54"/>
    </row>
    <row r="188" spans="4:77" ht="15.75" thickBot="1" x14ac:dyDescent="0.3">
      <c r="F188" s="70" t="s">
        <v>209</v>
      </c>
      <c r="G188" s="71" t="s">
        <v>312</v>
      </c>
      <c r="H188" s="71" t="s">
        <v>313</v>
      </c>
      <c r="I188" s="72" t="s">
        <v>314</v>
      </c>
      <c r="K188" s="2" t="s">
        <v>211</v>
      </c>
      <c r="L188" s="172">
        <f>(L182/$L$181)</f>
        <v>4.9840779548148681E-2</v>
      </c>
      <c r="M188" s="172">
        <f>(M182/$M$181)</f>
        <v>0.15609769589832104</v>
      </c>
      <c r="N188" s="172">
        <f>(N182/$N$181)</f>
        <v>4.0299904411284039E-2</v>
      </c>
      <c r="O188" s="172">
        <f>(O182/$O$181)</f>
        <v>8.4048382952168793E-2</v>
      </c>
      <c r="P188" s="191"/>
      <c r="V188" s="23"/>
      <c r="W188" s="23"/>
      <c r="AB188" s="222" t="s">
        <v>210</v>
      </c>
      <c r="AC188" s="251">
        <f>AC182/$AI182</f>
        <v>1.5940275724639366E-2</v>
      </c>
      <c r="AD188" s="251">
        <f t="shared" ref="AD188:AD190" si="23">AD182/$AI182</f>
        <v>2.5376664793067584E-2</v>
      </c>
      <c r="AE188" s="251">
        <f t="shared" si="20"/>
        <v>0.56924529720658157</v>
      </c>
      <c r="AF188" s="251">
        <f t="shared" si="20"/>
        <v>0.17835040169940661</v>
      </c>
      <c r="AG188" s="251">
        <f t="shared" si="20"/>
        <v>0.13737332975218877</v>
      </c>
      <c r="AH188" s="251">
        <f t="shared" si="20"/>
        <v>7.3714030824116095E-2</v>
      </c>
      <c r="AI188" s="251">
        <f t="shared" si="21"/>
        <v>1</v>
      </c>
      <c r="AJ188" s="39"/>
      <c r="AL188" s="23">
        <v>6888637.5599059099</v>
      </c>
      <c r="AM188" s="23" t="s">
        <v>210</v>
      </c>
      <c r="AO188" s="151" t="s">
        <v>210</v>
      </c>
      <c r="AP188" s="146">
        <f>South!AU69</f>
        <v>2.4416046628398226E-2</v>
      </c>
      <c r="AQ188" s="146">
        <f>AL188*AP188</f>
        <v>168193.29586879807</v>
      </c>
      <c r="AR188" s="146">
        <f t="shared" si="22"/>
        <v>6116119.8497744752</v>
      </c>
      <c r="AU188" s="109">
        <f>SUM(AP183:AT183)</f>
        <v>7589.7490655191787</v>
      </c>
      <c r="AW188" s="40">
        <f>COUNTA(AW3:AW174)</f>
        <v>85</v>
      </c>
      <c r="AX188" s="39">
        <f>AX187/170</f>
        <v>0.22352941176470589</v>
      </c>
      <c r="BF188" s="122" t="s">
        <v>223</v>
      </c>
      <c r="BG188" s="126">
        <f>BG185/BG184</f>
        <v>1.0752688172043012E-2</v>
      </c>
      <c r="BH188" s="54"/>
    </row>
    <row r="189" spans="4:77" ht="15.75" thickBot="1" x14ac:dyDescent="0.3">
      <c r="F189" s="5" t="s">
        <v>301</v>
      </c>
      <c r="G189" s="2">
        <f>SUM(G3:G174)</f>
        <v>27576510.919999998</v>
      </c>
      <c r="H189" s="2">
        <f>G189/G189</f>
        <v>1</v>
      </c>
      <c r="I189" s="167">
        <f>H182</f>
        <v>248558752.78899327</v>
      </c>
      <c r="K189" s="2" t="s">
        <v>210</v>
      </c>
      <c r="L189" s="172">
        <f>(L183/$L$181)</f>
        <v>0.75329872902398087</v>
      </c>
      <c r="M189" s="172">
        <f>(M183/$M$181)</f>
        <v>0.42421980968460365</v>
      </c>
      <c r="N189" s="172">
        <f>(N183/$N$181)</f>
        <v>0.67581823420862386</v>
      </c>
      <c r="O189" s="172">
        <f>(O183/$O$181)</f>
        <v>0.41084337081666783</v>
      </c>
      <c r="P189" s="191"/>
      <c r="V189" s="23"/>
      <c r="W189" s="23"/>
      <c r="AB189" s="223" t="s">
        <v>213</v>
      </c>
      <c r="AC189" s="251">
        <f t="shared" ref="AC189:AC190" si="24">AC183/$AI183</f>
        <v>3.1254921878027073E-2</v>
      </c>
      <c r="AD189" s="251">
        <f t="shared" si="23"/>
        <v>2.4931277923330511E-2</v>
      </c>
      <c r="AE189" s="251">
        <f t="shared" si="20"/>
        <v>0.85057456093797068</v>
      </c>
      <c r="AF189" s="251">
        <f t="shared" si="20"/>
        <v>3.6133180130548184E-2</v>
      </c>
      <c r="AG189" s="251">
        <f t="shared" si="20"/>
        <v>1.1698741316188636E-2</v>
      </c>
      <c r="AH189" s="251">
        <f t="shared" si="20"/>
        <v>4.5407317813934776E-2</v>
      </c>
      <c r="AI189" s="251">
        <f t="shared" si="21"/>
        <v>0.99999999999999989</v>
      </c>
      <c r="AJ189" s="111" t="s">
        <v>204</v>
      </c>
      <c r="AL189" s="23">
        <v>156311.12519544218</v>
      </c>
      <c r="AM189" s="23" t="s">
        <v>213</v>
      </c>
      <c r="AO189" s="151" t="s">
        <v>213</v>
      </c>
      <c r="AP189" s="146">
        <f>Northeast!AU26</f>
        <v>4.4260649643395003E-2</v>
      </c>
      <c r="AQ189" s="146">
        <f>AL189*AP189</f>
        <v>6918.4319476403198</v>
      </c>
      <c r="AR189" s="146">
        <f t="shared" si="22"/>
        <v>251579.34355055707</v>
      </c>
      <c r="AW189" s="40">
        <f>AW187/AW188</f>
        <v>0.55294117647058827</v>
      </c>
    </row>
    <row r="190" spans="4:77" ht="15.75" thickBot="1" x14ac:dyDescent="0.3">
      <c r="F190" s="5" t="s">
        <v>211</v>
      </c>
      <c r="G190" s="2">
        <f>SUMIF(D3:D174,"Midwest",G3:G174)</f>
        <v>3877740.8099999996</v>
      </c>
      <c r="H190" s="2">
        <f>G190/G189</f>
        <v>0.14061752849188944</v>
      </c>
      <c r="I190" s="167">
        <f>H190*I189</f>
        <v>34951717.502214767</v>
      </c>
      <c r="K190" s="2" t="s">
        <v>213</v>
      </c>
      <c r="L190" s="172">
        <f>(L184/$L$181)</f>
        <v>4.2827554055602138E-2</v>
      </c>
      <c r="M190" s="172">
        <f>(M184/$M$181)</f>
        <v>0.1206157344225985</v>
      </c>
      <c r="N190" s="172">
        <f>(N184/$N$181)</f>
        <v>1.5335094595714183E-2</v>
      </c>
      <c r="O190" s="172">
        <f>(O184/$O$181)</f>
        <v>0.1031924623278325</v>
      </c>
      <c r="P190" s="191"/>
      <c r="V190" s="23"/>
      <c r="W190" s="23"/>
      <c r="AB190" s="224" t="s">
        <v>212</v>
      </c>
      <c r="AC190" s="251">
        <f t="shared" si="24"/>
        <v>6.3213768739235811E-3</v>
      </c>
      <c r="AD190" s="251">
        <f t="shared" si="23"/>
        <v>2.8369828646242632E-2</v>
      </c>
      <c r="AE190" s="251">
        <f t="shared" si="20"/>
        <v>0.29603163433666069</v>
      </c>
      <c r="AF190" s="251">
        <f>AF184/$AI184</f>
        <v>0.22006952547527484</v>
      </c>
      <c r="AG190" s="251">
        <f t="shared" ref="AG190:AH190" si="25">AG184/$AI184</f>
        <v>0.40897273147351992</v>
      </c>
      <c r="AH190" s="251">
        <f t="shared" si="25"/>
        <v>4.0234903194378384E-2</v>
      </c>
      <c r="AI190" s="251">
        <f t="shared" si="21"/>
        <v>1</v>
      </c>
      <c r="AJ190" s="54">
        <v>0.379</v>
      </c>
      <c r="AL190" s="23">
        <v>2737306.0545316557</v>
      </c>
      <c r="AM190" s="23" t="s">
        <v>212</v>
      </c>
      <c r="AO190" s="151" t="s">
        <v>212</v>
      </c>
      <c r="AP190" s="146">
        <f>West!AU67</f>
        <v>5.2455926360682137E-2</v>
      </c>
      <c r="AQ190" s="146">
        <f>AP190*AL190</f>
        <v>143587.92482316188</v>
      </c>
      <c r="AR190" s="146">
        <f t="shared" si="22"/>
        <v>5221379.0844786139</v>
      </c>
      <c r="AW190" s="40">
        <f>1-AW189</f>
        <v>0.44705882352941173</v>
      </c>
    </row>
    <row r="191" spans="4:77" ht="41.1" customHeight="1" thickBot="1" x14ac:dyDescent="0.3">
      <c r="F191" s="5" t="s">
        <v>210</v>
      </c>
      <c r="G191" s="2">
        <f>SUMIF(D3:D174,"South",G3:G174)</f>
        <v>12702286.98</v>
      </c>
      <c r="H191" s="2">
        <f>G191/G189</f>
        <v>0.46061980128122754</v>
      </c>
      <c r="I191" s="167">
        <f>H191*I189</f>
        <v>114491083.31637584</v>
      </c>
      <c r="K191" s="2" t="s">
        <v>212</v>
      </c>
      <c r="L191" s="172">
        <f>(L185/$L$181)</f>
        <v>0.15403293737226822</v>
      </c>
      <c r="M191" s="172">
        <f>(M185/$M$181)</f>
        <v>0.29906675999447679</v>
      </c>
      <c r="N191" s="172">
        <f>(N185/$N$181)</f>
        <v>0.26854676678437794</v>
      </c>
      <c r="O191" s="172">
        <f>(O185/$O$181)</f>
        <v>0.40191578390333099</v>
      </c>
      <c r="P191" s="191"/>
      <c r="V191" s="23"/>
      <c r="W191" s="23"/>
      <c r="Y191" s="252"/>
      <c r="Z191" s="253" t="s">
        <v>329</v>
      </c>
      <c r="AC191" s="107" t="s">
        <v>342</v>
      </c>
      <c r="AD191" s="230" t="s">
        <v>343</v>
      </c>
      <c r="AE191" s="231" t="s">
        <v>344</v>
      </c>
      <c r="AF191" s="107" t="s">
        <v>345</v>
      </c>
      <c r="AG191" s="107" t="s">
        <v>346</v>
      </c>
      <c r="AH191" s="107" t="s">
        <v>193</v>
      </c>
      <c r="AI191" s="107"/>
      <c r="AJ191" s="54">
        <v>0.33400000000000002</v>
      </c>
    </row>
    <row r="192" spans="4:77" ht="60" x14ac:dyDescent="0.25">
      <c r="F192" s="5" t="s">
        <v>213</v>
      </c>
      <c r="G192" s="2">
        <f>SUMIF(D3:D174,"Northeast",G3:G174)</f>
        <v>3019913.9</v>
      </c>
      <c r="H192" s="2">
        <f>G192/G189</f>
        <v>0.10951036948658334</v>
      </c>
      <c r="I192" s="167">
        <f>H192*I189</f>
        <v>27219760.85704698</v>
      </c>
      <c r="K192" s="2"/>
      <c r="L192" s="174" t="s">
        <v>329</v>
      </c>
      <c r="M192" s="174" t="s">
        <v>330</v>
      </c>
      <c r="N192" s="174" t="s">
        <v>331</v>
      </c>
      <c r="O192" s="174" t="s">
        <v>332</v>
      </c>
      <c r="P192" s="188"/>
      <c r="V192" s="23"/>
      <c r="W192" s="23"/>
      <c r="Y192" s="221" t="s">
        <v>301</v>
      </c>
      <c r="Z192" s="227">
        <v>20005968.00753326</v>
      </c>
      <c r="AB192" s="234" t="s">
        <v>341</v>
      </c>
      <c r="AC192" s="237">
        <f>Z192*AC186</f>
        <v>359243.04441649729</v>
      </c>
      <c r="AD192" s="235"/>
      <c r="AE192" s="236"/>
      <c r="AF192" s="238"/>
      <c r="AG192" s="239"/>
      <c r="AH192" s="240"/>
      <c r="AI192" s="250"/>
      <c r="AJ192" s="54">
        <f>AJ184</f>
        <v>0.62420382165605093</v>
      </c>
    </row>
    <row r="193" spans="6:62" ht="15.75" thickBot="1" x14ac:dyDescent="0.3">
      <c r="F193" s="7" t="s">
        <v>212</v>
      </c>
      <c r="G193" s="8">
        <f>SUMIF(D3:D174,"West",G3:G174)</f>
        <v>7976569.2300000004</v>
      </c>
      <c r="H193" s="8">
        <f>G193/G189</f>
        <v>0.28925230074029978</v>
      </c>
      <c r="I193" s="168">
        <f>H193*I189</f>
        <v>71896191.113355711</v>
      </c>
      <c r="K193" s="170" t="s">
        <v>301</v>
      </c>
      <c r="L193" s="176">
        <f>L178*1343</f>
        <v>20005968.00753326</v>
      </c>
      <c r="M193" s="176">
        <f t="shared" ref="M193:O193" si="26">M178*1343</f>
        <v>210842290.4408339</v>
      </c>
      <c r="N193" s="176">
        <f t="shared" si="26"/>
        <v>10193032.99499226</v>
      </c>
      <c r="O193" s="176">
        <f t="shared" si="26"/>
        <v>7517461.3456339194</v>
      </c>
      <c r="P193" s="192"/>
      <c r="V193" s="23"/>
      <c r="W193" s="23"/>
      <c r="Y193" s="221" t="s">
        <v>211</v>
      </c>
      <c r="Z193" s="227">
        <v>997113.04111078056</v>
      </c>
      <c r="AB193" s="221" t="s">
        <v>211</v>
      </c>
      <c r="AC193" s="241"/>
      <c r="AD193" s="232"/>
      <c r="AE193" s="233"/>
      <c r="AF193" s="241"/>
      <c r="AG193" s="219"/>
      <c r="AH193" s="242"/>
      <c r="AI193" s="250"/>
      <c r="AJ193" s="39"/>
      <c r="AP193" s="23" t="s">
        <v>274</v>
      </c>
      <c r="AQ193" s="23" t="s">
        <v>275</v>
      </c>
      <c r="BI193" s="33"/>
      <c r="BJ193" s="35"/>
    </row>
    <row r="194" spans="6:62" ht="16.5" thickTop="1" thickBot="1" x14ac:dyDescent="0.3">
      <c r="G194" s="23"/>
      <c r="H194" s="23"/>
      <c r="I194" s="163"/>
      <c r="K194" s="2" t="s">
        <v>211</v>
      </c>
      <c r="L194" s="24">
        <f>L188*L$193</f>
        <v>997113.04111078056</v>
      </c>
      <c r="M194" s="24">
        <f t="shared" ref="M194:O194" si="27">M188*M$193</f>
        <v>32911995.735738769</v>
      </c>
      <c r="N194" s="24">
        <f t="shared" si="27"/>
        <v>410778.25535925233</v>
      </c>
      <c r="O194" s="24">
        <f t="shared" si="27"/>
        <v>631830.47000596579</v>
      </c>
      <c r="P194" s="182"/>
      <c r="V194" s="23"/>
      <c r="W194" s="23"/>
      <c r="Y194" s="221" t="s">
        <v>210</v>
      </c>
      <c r="Z194" s="227">
        <v>15070470.272969227</v>
      </c>
      <c r="AB194" s="222" t="s">
        <v>210</v>
      </c>
      <c r="AC194" s="241"/>
      <c r="AD194" s="232"/>
      <c r="AE194" s="233"/>
      <c r="AF194" s="241"/>
      <c r="AG194" s="241"/>
      <c r="AH194" s="242"/>
      <c r="AI194" s="250"/>
      <c r="AJ194" s="39"/>
      <c r="AO194" s="137" t="s">
        <v>272</v>
      </c>
      <c r="AP194" s="23">
        <v>360107.42413559865</v>
      </c>
      <c r="AQ194" s="23">
        <f>(AP194*2000)/55</f>
        <v>13094815.423112679</v>
      </c>
    </row>
    <row r="195" spans="6:62" ht="15.75" thickBot="1" x14ac:dyDescent="0.3">
      <c r="G195" s="23"/>
      <c r="H195" s="23"/>
      <c r="I195" s="163"/>
      <c r="K195" s="2" t="s">
        <v>210</v>
      </c>
      <c r="L195" s="24">
        <f t="shared" ref="L195:L197" si="28">L189*$L$193</f>
        <v>15070470.272969227</v>
      </c>
      <c r="M195" s="24">
        <f>M189*$M$193</f>
        <v>89443476.324276477</v>
      </c>
      <c r="N195" s="24">
        <f>N189*$N$193</f>
        <v>6888637.5599059099</v>
      </c>
      <c r="O195" s="24">
        <f>O189*$O$193</f>
        <v>3088499.1592242429</v>
      </c>
      <c r="P195" s="182"/>
      <c r="V195" s="23"/>
      <c r="W195" s="23"/>
      <c r="Y195" s="221" t="s">
        <v>213</v>
      </c>
      <c r="Z195" s="227">
        <v>856806.67627727764</v>
      </c>
      <c r="AB195" s="223" t="s">
        <v>213</v>
      </c>
      <c r="AC195" s="241"/>
      <c r="AD195" s="232"/>
      <c r="AE195" s="233"/>
      <c r="AF195" s="219"/>
      <c r="AG195" s="241"/>
      <c r="AH195" s="242"/>
      <c r="AI195" s="250"/>
      <c r="AJ195" s="39"/>
      <c r="AO195" s="138" t="s">
        <v>211</v>
      </c>
      <c r="AP195" s="23">
        <v>55866.983912096322</v>
      </c>
      <c r="AQ195" s="23">
        <f>(AP195*2000)/55</f>
        <v>2031526.6877125935</v>
      </c>
      <c r="AX195" s="39">
        <f>(990000*2000)/55</f>
        <v>36000000</v>
      </c>
    </row>
    <row r="196" spans="6:62" ht="15.75" thickBot="1" x14ac:dyDescent="0.3">
      <c r="G196" s="23"/>
      <c r="H196" s="23"/>
      <c r="I196" s="163"/>
      <c r="K196" s="2" t="s">
        <v>213</v>
      </c>
      <c r="L196" s="24">
        <f t="shared" si="28"/>
        <v>856806.67627727764</v>
      </c>
      <c r="M196" s="24">
        <f>M190*$M$193</f>
        <v>25430897.708864</v>
      </c>
      <c r="N196" s="24">
        <f>N190*$N$193</f>
        <v>156311.12519544218</v>
      </c>
      <c r="O196" s="24">
        <f>O190*$O$193</f>
        <v>775745.34671026515</v>
      </c>
      <c r="P196" s="182"/>
      <c r="V196" s="23"/>
      <c r="W196" s="23"/>
      <c r="Y196" s="224" t="s">
        <v>212</v>
      </c>
      <c r="Z196" s="229">
        <v>3081578.0171759725</v>
      </c>
      <c r="AB196" s="224" t="s">
        <v>212</v>
      </c>
      <c r="AC196" s="243"/>
      <c r="AD196" s="244"/>
      <c r="AE196" s="245"/>
      <c r="AF196" s="243"/>
      <c r="AG196" s="246"/>
      <c r="AH196" s="247"/>
      <c r="AI196" s="250"/>
      <c r="AJ196" s="39"/>
      <c r="AO196" s="138" t="s">
        <v>210</v>
      </c>
      <c r="AP196" s="23">
        <v>255041.01902664822</v>
      </c>
      <c r="AQ196" s="23">
        <f>(AP196*2000)/55</f>
        <v>9274218.8736962993</v>
      </c>
      <c r="AX196" s="39">
        <f>(607000*2000)/55</f>
        <v>22072727.272727273</v>
      </c>
    </row>
    <row r="197" spans="6:62" ht="15.75" thickBot="1" x14ac:dyDescent="0.3">
      <c r="G197" s="23"/>
      <c r="H197" s="23"/>
      <c r="I197" s="23"/>
      <c r="K197" s="2" t="s">
        <v>212</v>
      </c>
      <c r="L197" s="24">
        <f t="shared" si="28"/>
        <v>3081578.0171759725</v>
      </c>
      <c r="M197" s="24">
        <f>M191*$M$193</f>
        <v>63055920.671954639</v>
      </c>
      <c r="N197" s="24">
        <f>N191*$N$193</f>
        <v>2737306.0545316557</v>
      </c>
      <c r="O197" s="24">
        <f>O191*$O$193</f>
        <v>3021386.369693446</v>
      </c>
      <c r="P197" s="182"/>
      <c r="V197" s="23"/>
      <c r="W197" s="23"/>
      <c r="AC197" s="107" t="s">
        <v>342</v>
      </c>
      <c r="AD197" s="230" t="s">
        <v>343</v>
      </c>
      <c r="AE197" s="231" t="s">
        <v>344</v>
      </c>
      <c r="AF197" s="107" t="s">
        <v>345</v>
      </c>
      <c r="AG197" s="107" t="s">
        <v>346</v>
      </c>
      <c r="AH197" s="107" t="s">
        <v>193</v>
      </c>
      <c r="AI197" s="107"/>
      <c r="AJ197" s="39"/>
      <c r="AO197" s="138" t="s">
        <v>213</v>
      </c>
      <c r="AP197" s="23">
        <v>28481.488460452449</v>
      </c>
      <c r="AQ197" s="23">
        <f>(AP197*2000)/55</f>
        <v>1035690.4894709982</v>
      </c>
    </row>
    <row r="198" spans="6:62" ht="15.75" thickBot="1" x14ac:dyDescent="0.3">
      <c r="G198" s="23"/>
      <c r="H198" s="23"/>
      <c r="I198" s="120"/>
      <c r="L198" s="23"/>
      <c r="M198" s="23"/>
      <c r="N198" s="23"/>
      <c r="O198" s="169"/>
      <c r="P198" s="193"/>
      <c r="V198" s="23"/>
      <c r="W198" s="23"/>
      <c r="AB198" s="234" t="s">
        <v>341</v>
      </c>
      <c r="AC198" s="23">
        <f>(AC192*2000)/55</f>
        <v>13063383.433327174</v>
      </c>
      <c r="AD198" s="217"/>
      <c r="AJ198" s="39"/>
      <c r="AO198" s="138" t="s">
        <v>212</v>
      </c>
      <c r="AP198" s="23">
        <v>20717.932736401628</v>
      </c>
      <c r="AQ198" s="22">
        <f>(AP198*2000)/55</f>
        <v>753379.3722327865</v>
      </c>
    </row>
    <row r="199" spans="6:62" x14ac:dyDescent="0.25">
      <c r="L199" s="23"/>
      <c r="M199" s="23"/>
      <c r="N199" s="23"/>
      <c r="O199" s="23"/>
      <c r="P199" s="185"/>
      <c r="V199" s="23"/>
      <c r="W199" s="23"/>
      <c r="AB199" s="221" t="s">
        <v>211</v>
      </c>
      <c r="AD199" s="217"/>
      <c r="AJ199" s="39"/>
    </row>
    <row r="200" spans="6:62" x14ac:dyDescent="0.25">
      <c r="L200" s="23"/>
      <c r="M200" s="23"/>
      <c r="N200" s="23"/>
      <c r="O200" s="23"/>
      <c r="P200" s="185"/>
      <c r="V200" s="23"/>
      <c r="W200" s="23"/>
      <c r="AB200" s="222" t="s">
        <v>210</v>
      </c>
      <c r="AD200" s="217"/>
      <c r="AJ200" s="39"/>
    </row>
    <row r="201" spans="6:62" x14ac:dyDescent="0.25">
      <c r="L201" s="23"/>
      <c r="M201" s="23"/>
      <c r="N201" s="23"/>
      <c r="O201" s="23"/>
      <c r="P201" s="185"/>
      <c r="V201" s="23"/>
      <c r="W201" s="23"/>
      <c r="AB201" s="223" t="s">
        <v>213</v>
      </c>
      <c r="AD201" s="217"/>
      <c r="AJ201" s="39"/>
      <c r="AO201" s="157" t="s">
        <v>294</v>
      </c>
      <c r="AP201" s="23">
        <f>AQ194+AR186</f>
        <v>28981945.272250727</v>
      </c>
    </row>
    <row r="202" spans="6:62" ht="15.75" thickBot="1" x14ac:dyDescent="0.3">
      <c r="L202" s="23"/>
      <c r="M202" s="23"/>
      <c r="N202" s="23"/>
      <c r="O202" s="23"/>
      <c r="P202" s="185"/>
      <c r="V202" s="23"/>
      <c r="W202" s="23"/>
      <c r="AB202" s="224" t="s">
        <v>212</v>
      </c>
      <c r="AD202" s="217"/>
      <c r="AF202" s="22"/>
      <c r="AJ202" s="39"/>
      <c r="AO202" s="157" t="s">
        <v>295</v>
      </c>
      <c r="AP202" s="23">
        <f>AQ194</f>
        <v>13094815.423112679</v>
      </c>
      <c r="AQ202" s="23">
        <f>AP202/AP201</f>
        <v>0.45182665622002055</v>
      </c>
    </row>
    <row r="203" spans="6:62" x14ac:dyDescent="0.25">
      <c r="L203" s="169"/>
      <c r="M203" s="23"/>
      <c r="N203" s="23"/>
      <c r="O203" s="23"/>
      <c r="P203" s="185"/>
      <c r="V203" s="23"/>
      <c r="W203" s="23"/>
      <c r="AD203" s="217"/>
      <c r="AJ203" s="39"/>
      <c r="AO203" s="157" t="s">
        <v>296</v>
      </c>
      <c r="AP203" s="23">
        <f>AR186</f>
        <v>15887129.849138048</v>
      </c>
      <c r="AQ203" s="23">
        <f>AP203/AP201</f>
        <v>0.54817334377997939</v>
      </c>
    </row>
    <row r="204" spans="6:62" x14ac:dyDescent="0.25">
      <c r="L204" s="169"/>
      <c r="M204" s="23"/>
      <c r="N204" s="23"/>
      <c r="O204" s="23"/>
      <c r="P204" s="185"/>
      <c r="V204" s="23"/>
      <c r="W204" s="23"/>
      <c r="AJ204" s="39"/>
      <c r="AP204" s="109"/>
    </row>
    <row r="205" spans="6:62" x14ac:dyDescent="0.25">
      <c r="L205" s="169"/>
      <c r="M205" s="23"/>
      <c r="N205" s="23"/>
      <c r="O205" s="23"/>
      <c r="P205" s="185"/>
      <c r="V205" s="23"/>
      <c r="W205" s="23"/>
      <c r="AJ205" s="39"/>
    </row>
    <row r="206" spans="6:62" x14ac:dyDescent="0.25">
      <c r="L206" s="169"/>
      <c r="M206" s="23"/>
      <c r="N206" s="23"/>
      <c r="O206" s="23"/>
      <c r="P206" s="185"/>
      <c r="V206" s="23"/>
      <c r="W206" s="23"/>
      <c r="Y206" s="217"/>
      <c r="Z206" s="136"/>
      <c r="AA206" s="136"/>
      <c r="AB206" s="136"/>
      <c r="AD206" s="217"/>
      <c r="AJ206" s="39"/>
    </row>
    <row r="207" spans="6:62" x14ac:dyDescent="0.25">
      <c r="L207" s="23"/>
      <c r="M207" s="23"/>
      <c r="N207" s="23"/>
      <c r="O207" s="23"/>
      <c r="P207" s="185"/>
      <c r="V207" s="23"/>
      <c r="W207" s="23"/>
      <c r="Y207" s="217"/>
      <c r="Z207" s="136"/>
      <c r="AA207" s="136"/>
      <c r="AB207" s="136"/>
      <c r="AD207" s="217"/>
      <c r="AJ207" s="39"/>
    </row>
    <row r="208" spans="6:62" x14ac:dyDescent="0.25">
      <c r="L208" s="23"/>
      <c r="M208" s="23"/>
      <c r="N208" s="23"/>
      <c r="O208" s="23"/>
      <c r="P208" s="185"/>
      <c r="V208" s="23"/>
      <c r="W208" s="23"/>
      <c r="Y208" s="217"/>
      <c r="Z208" s="136"/>
      <c r="AA208" s="136"/>
      <c r="AB208" s="136"/>
      <c r="AD208" s="217"/>
      <c r="AJ208" s="39"/>
    </row>
    <row r="209" spans="12:44" x14ac:dyDescent="0.25">
      <c r="L209" s="23"/>
      <c r="M209" s="23"/>
      <c r="N209" s="23"/>
      <c r="O209" s="23"/>
      <c r="P209" s="185"/>
      <c r="V209" s="23"/>
      <c r="W209" s="23"/>
      <c r="Y209" s="217"/>
      <c r="Z209" s="136"/>
      <c r="AA209" s="147"/>
      <c r="AB209" s="136"/>
      <c r="AD209" s="217"/>
      <c r="AJ209" s="39"/>
    </row>
    <row r="210" spans="12:44" x14ac:dyDescent="0.25">
      <c r="L210" s="23"/>
      <c r="M210" s="23"/>
      <c r="N210" s="23"/>
      <c r="O210" s="120"/>
      <c r="P210" s="182"/>
      <c r="V210" s="23"/>
      <c r="W210" s="23"/>
      <c r="Y210" s="217"/>
      <c r="Z210" s="136"/>
      <c r="AA210" s="147"/>
      <c r="AB210" s="136"/>
      <c r="AD210" s="217"/>
      <c r="AJ210" s="39"/>
    </row>
    <row r="211" spans="12:44" x14ac:dyDescent="0.25">
      <c r="L211" s="169"/>
      <c r="M211" s="23"/>
      <c r="N211" s="23"/>
      <c r="O211" s="23"/>
      <c r="P211" s="185"/>
      <c r="V211" s="23"/>
      <c r="W211" s="23"/>
      <c r="AD211" s="217"/>
      <c r="AJ211" s="39"/>
    </row>
    <row r="212" spans="12:44" x14ac:dyDescent="0.25">
      <c r="L212" s="169"/>
      <c r="M212" s="23"/>
      <c r="N212" s="23"/>
      <c r="O212" s="23"/>
      <c r="P212" s="185"/>
      <c r="V212" s="23"/>
      <c r="W212" s="23"/>
      <c r="AJ212" s="39"/>
    </row>
    <row r="213" spans="12:44" x14ac:dyDescent="0.25">
      <c r="L213" s="169"/>
      <c r="M213" s="23"/>
      <c r="N213" s="23"/>
      <c r="O213" s="23"/>
      <c r="P213" s="185"/>
      <c r="V213" s="23"/>
      <c r="W213" s="23"/>
      <c r="AJ213" s="39"/>
    </row>
    <row r="214" spans="12:44" x14ac:dyDescent="0.25">
      <c r="L214" s="169"/>
      <c r="M214" s="23"/>
      <c r="N214" s="23"/>
      <c r="O214" s="23"/>
      <c r="P214" s="185"/>
      <c r="V214" s="23"/>
      <c r="W214" s="23"/>
      <c r="AJ214" s="39"/>
    </row>
    <row r="215" spans="12:44" x14ac:dyDescent="0.25">
      <c r="L215" s="23"/>
      <c r="M215" s="23"/>
      <c r="N215" s="23"/>
      <c r="O215" s="23"/>
      <c r="P215" s="185"/>
      <c r="V215" s="23"/>
      <c r="W215" s="23"/>
      <c r="AJ215" s="39"/>
    </row>
    <row r="216" spans="12:44" x14ac:dyDescent="0.25">
      <c r="L216" s="23"/>
      <c r="M216" s="23"/>
      <c r="N216" s="23"/>
      <c r="O216" s="23"/>
      <c r="P216" s="185"/>
      <c r="V216" s="23"/>
      <c r="W216" s="23"/>
      <c r="AJ216" s="39"/>
    </row>
    <row r="217" spans="12:44" x14ac:dyDescent="0.25">
      <c r="L217" s="23"/>
      <c r="M217" s="23"/>
      <c r="N217" s="23"/>
      <c r="O217" s="23"/>
      <c r="P217" s="185"/>
      <c r="V217" s="23"/>
      <c r="W217" s="23"/>
      <c r="AJ217" s="39"/>
    </row>
    <row r="218" spans="12:44" x14ac:dyDescent="0.25">
      <c r="L218" s="23"/>
      <c r="M218" s="23"/>
      <c r="N218" s="120"/>
      <c r="O218" s="120"/>
      <c r="P218" s="182"/>
      <c r="V218" s="23"/>
      <c r="W218" s="23"/>
      <c r="AJ218" s="39"/>
    </row>
    <row r="219" spans="12:44" x14ac:dyDescent="0.25">
      <c r="L219" s="169"/>
      <c r="M219" s="23"/>
      <c r="N219" s="23"/>
      <c r="O219" s="23"/>
      <c r="P219" s="185"/>
    </row>
    <row r="220" spans="12:44" x14ac:dyDescent="0.25">
      <c r="L220" s="169"/>
      <c r="M220" s="23"/>
      <c r="N220" s="23"/>
      <c r="O220" s="23"/>
      <c r="P220" s="185"/>
    </row>
    <row r="221" spans="12:44" x14ac:dyDescent="0.25">
      <c r="L221" s="169"/>
      <c r="M221" s="23"/>
      <c r="N221" s="23"/>
      <c r="O221" s="23"/>
      <c r="P221" s="185"/>
    </row>
    <row r="222" spans="12:44" x14ac:dyDescent="0.25">
      <c r="L222" s="169"/>
      <c r="M222" s="23"/>
      <c r="N222" s="23"/>
      <c r="O222" s="23"/>
      <c r="P222" s="185"/>
      <c r="AN222" s="23" t="s">
        <v>205</v>
      </c>
      <c r="AO222" s="23" t="s">
        <v>206</v>
      </c>
      <c r="AQ222" s="23">
        <f>1369*0.583</f>
        <v>798.12699999999995</v>
      </c>
      <c r="AR222" s="23">
        <f>AQ222*AP204</f>
        <v>0</v>
      </c>
    </row>
    <row r="223" spans="12:44" x14ac:dyDescent="0.25">
      <c r="L223" s="23"/>
      <c r="M223" s="23"/>
      <c r="N223" s="23"/>
      <c r="O223" s="23"/>
      <c r="P223" s="185"/>
      <c r="AN223" s="23">
        <v>1995</v>
      </c>
      <c r="AO223" s="120">
        <v>10320000</v>
      </c>
      <c r="AQ223" s="23">
        <f>AP204*1369</f>
        <v>0</v>
      </c>
      <c r="AR223" s="23">
        <f>AQ223*0.583</f>
        <v>0</v>
      </c>
    </row>
    <row r="224" spans="12:44" x14ac:dyDescent="0.25">
      <c r="L224" s="23"/>
      <c r="M224" s="23"/>
      <c r="N224" s="23"/>
      <c r="O224" s="23"/>
      <c r="P224" s="185"/>
      <c r="AN224" s="23">
        <v>1998</v>
      </c>
      <c r="AO224" s="120">
        <v>8932000</v>
      </c>
    </row>
    <row r="225" spans="12:41" x14ac:dyDescent="0.25">
      <c r="L225" s="23"/>
      <c r="M225" s="23"/>
      <c r="N225" s="23"/>
      <c r="O225" s="23"/>
      <c r="P225" s="185"/>
      <c r="AN225" s="23">
        <v>2016</v>
      </c>
      <c r="AO225" s="120">
        <f>AR223</f>
        <v>0</v>
      </c>
    </row>
    <row r="226" spans="12:41" x14ac:dyDescent="0.25">
      <c r="L226" s="23"/>
      <c r="M226" s="23"/>
      <c r="N226" s="23"/>
      <c r="O226" s="23"/>
      <c r="P226" s="185"/>
    </row>
    <row r="227" spans="12:41" x14ac:dyDescent="0.25">
      <c r="L227" s="23"/>
      <c r="M227" s="23"/>
      <c r="N227" s="23"/>
      <c r="O227" s="23"/>
      <c r="P227" s="185"/>
    </row>
    <row r="228" spans="12:41" x14ac:dyDescent="0.25">
      <c r="L228" s="23"/>
      <c r="M228" s="23"/>
      <c r="N228" s="23"/>
      <c r="O228" s="23"/>
      <c r="P228" s="185"/>
    </row>
    <row r="229" spans="12:41" x14ac:dyDescent="0.25">
      <c r="L229" s="100"/>
      <c r="M229" s="23"/>
      <c r="N229" s="23"/>
      <c r="O229" s="100"/>
      <c r="P229" s="185"/>
    </row>
    <row r="230" spans="12:41" x14ac:dyDescent="0.25">
      <c r="L230" s="23"/>
      <c r="M230" s="23"/>
      <c r="N230" s="23"/>
      <c r="O230" s="23"/>
      <c r="P230" s="185"/>
    </row>
    <row r="246" spans="41:43" ht="15.75" thickBot="1" x14ac:dyDescent="0.3"/>
    <row r="247" spans="41:43" x14ac:dyDescent="0.25">
      <c r="AO247" s="70" t="s">
        <v>205</v>
      </c>
      <c r="AP247" s="71" t="s">
        <v>207</v>
      </c>
      <c r="AQ247" s="72" t="s">
        <v>203</v>
      </c>
    </row>
    <row r="248" spans="41:43" x14ac:dyDescent="0.25">
      <c r="AO248" s="5">
        <v>2016</v>
      </c>
      <c r="AP248" s="24">
        <f>(AP178*1369)*0.583</f>
        <v>434221.49965097546</v>
      </c>
      <c r="AQ248" s="67">
        <f>(AP248*2000)/55</f>
        <v>15789872.714580925</v>
      </c>
    </row>
    <row r="249" spans="41:43" x14ac:dyDescent="0.25">
      <c r="AO249" s="5">
        <v>1998</v>
      </c>
      <c r="AP249" s="24">
        <v>607000</v>
      </c>
      <c r="AQ249" s="67">
        <f>(AP249*2000)/55</f>
        <v>22072727.272727273</v>
      </c>
    </row>
    <row r="250" spans="41:43" ht="15.75" thickBot="1" x14ac:dyDescent="0.3">
      <c r="AO250" s="7">
        <v>1995</v>
      </c>
      <c r="AP250" s="68">
        <v>990000</v>
      </c>
      <c r="AQ250" s="69">
        <v>32030000</v>
      </c>
    </row>
  </sheetData>
  <autoFilter ref="A2:CA192"/>
  <mergeCells count="11">
    <mergeCell ref="E176:E177"/>
    <mergeCell ref="G176:O176"/>
    <mergeCell ref="BU1:BY1"/>
    <mergeCell ref="AK1:AV1"/>
    <mergeCell ref="AW1:AX1"/>
    <mergeCell ref="AY1:BF1"/>
    <mergeCell ref="BK1:BS1"/>
    <mergeCell ref="Q176:S176"/>
    <mergeCell ref="Q1:S1"/>
    <mergeCell ref="T1:V1"/>
    <mergeCell ref="W1:AH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22" workbookViewId="0"/>
  </sheetViews>
  <sheetFormatPr defaultColWidth="11.42578125" defaultRowHeight="15" x14ac:dyDescent="0.25"/>
  <cols>
    <col min="2" max="2" width="16.140625" bestFit="1" customWidth="1"/>
    <col min="5" max="5" width="19.140625" bestFit="1" customWidth="1"/>
    <col min="10" max="10" width="25.140625" bestFit="1" customWidth="1"/>
    <col min="12" max="12" width="23.28515625" customWidth="1"/>
    <col min="13" max="13" width="11.85546875" customWidth="1"/>
  </cols>
  <sheetData>
    <row r="1" spans="1:29" x14ac:dyDescent="0.25">
      <c r="A1" s="14" t="s">
        <v>12</v>
      </c>
      <c r="B1" t="s">
        <v>253</v>
      </c>
      <c r="C1" t="s">
        <v>67</v>
      </c>
      <c r="D1" t="s">
        <v>68</v>
      </c>
      <c r="E1" t="s">
        <v>69</v>
      </c>
      <c r="F1" t="s">
        <v>70</v>
      </c>
      <c r="H1" s="19" t="s">
        <v>71</v>
      </c>
      <c r="I1" t="s">
        <v>72</v>
      </c>
      <c r="J1" t="s">
        <v>73</v>
      </c>
      <c r="K1" t="s">
        <v>74</v>
      </c>
      <c r="N1" t="s">
        <v>119</v>
      </c>
      <c r="O1" t="s">
        <v>120</v>
      </c>
      <c r="P1" t="s">
        <v>121</v>
      </c>
      <c r="Q1" t="s">
        <v>122</v>
      </c>
      <c r="R1" t="s">
        <v>123</v>
      </c>
      <c r="S1" t="s">
        <v>124</v>
      </c>
      <c r="U1" t="s">
        <v>125</v>
      </c>
      <c r="V1" t="s">
        <v>126</v>
      </c>
      <c r="W1" t="s">
        <v>127</v>
      </c>
      <c r="X1" t="s">
        <v>128</v>
      </c>
      <c r="Y1" t="s">
        <v>129</v>
      </c>
      <c r="Z1" t="s">
        <v>130</v>
      </c>
      <c r="AB1" t="s">
        <v>132</v>
      </c>
      <c r="AC1" t="s">
        <v>133</v>
      </c>
    </row>
    <row r="2" spans="1:29" x14ac:dyDescent="0.25">
      <c r="A2">
        <v>250</v>
      </c>
      <c r="B2">
        <v>1500000</v>
      </c>
      <c r="C2" s="59">
        <v>15</v>
      </c>
      <c r="D2" s="59">
        <v>80</v>
      </c>
      <c r="E2" s="59">
        <v>5</v>
      </c>
      <c r="F2" s="59">
        <v>0</v>
      </c>
      <c r="G2" s="59">
        <f>SUM(C2:F2)</f>
        <v>100</v>
      </c>
      <c r="H2">
        <v>225000</v>
      </c>
      <c r="I2">
        <v>1200000</v>
      </c>
      <c r="J2">
        <v>75000</v>
      </c>
      <c r="K2">
        <v>0</v>
      </c>
      <c r="L2">
        <f>SUM(H2:K2)</f>
        <v>1500000</v>
      </c>
      <c r="M2">
        <f>L2-B2</f>
        <v>0</v>
      </c>
      <c r="N2" s="43">
        <v>0</v>
      </c>
      <c r="O2" s="43">
        <v>0</v>
      </c>
      <c r="P2" s="43">
        <v>71.428571428571431</v>
      </c>
      <c r="Q2" s="43">
        <v>1.7857142857142856</v>
      </c>
      <c r="R2" s="43">
        <v>26.785714285714285</v>
      </c>
      <c r="S2" s="43">
        <v>0</v>
      </c>
      <c r="T2" s="43">
        <f>SUM(N2:S2)</f>
        <v>100</v>
      </c>
      <c r="U2" s="43">
        <v>0</v>
      </c>
      <c r="V2" s="43">
        <v>0</v>
      </c>
      <c r="W2" s="43">
        <v>160714.28571428574</v>
      </c>
      <c r="X2" s="43">
        <v>4017.8571428571427</v>
      </c>
      <c r="Y2" s="43">
        <v>60267.857142857138</v>
      </c>
      <c r="Z2" s="43">
        <v>0</v>
      </c>
      <c r="AA2" s="43">
        <f>SUM(U2:Z2)-H2</f>
        <v>0</v>
      </c>
      <c r="AB2" t="s">
        <v>76</v>
      </c>
      <c r="AC2" t="s">
        <v>64</v>
      </c>
    </row>
    <row r="3" spans="1:29" x14ac:dyDescent="0.25">
      <c r="A3">
        <v>680</v>
      </c>
      <c r="B3">
        <v>6721</v>
      </c>
      <c r="C3" s="59">
        <v>100</v>
      </c>
      <c r="D3" s="59">
        <v>0</v>
      </c>
      <c r="E3" s="59">
        <v>0</v>
      </c>
      <c r="F3" s="59">
        <v>0</v>
      </c>
      <c r="G3" s="59">
        <f t="shared" ref="G3:G66" si="0">SUM(C3:F3)</f>
        <v>100</v>
      </c>
      <c r="H3">
        <v>6721</v>
      </c>
      <c r="I3">
        <v>0</v>
      </c>
      <c r="J3">
        <v>0</v>
      </c>
      <c r="K3">
        <v>0</v>
      </c>
      <c r="L3">
        <f t="shared" ref="L3:L63" si="1">SUM(H3:K3)</f>
        <v>6721</v>
      </c>
      <c r="M3">
        <f t="shared" ref="M3:M63" si="2">L3-B3</f>
        <v>0</v>
      </c>
      <c r="N3">
        <v>0</v>
      </c>
      <c r="O3">
        <v>10</v>
      </c>
      <c r="P3">
        <v>80</v>
      </c>
      <c r="Q3">
        <v>10</v>
      </c>
      <c r="R3">
        <v>0</v>
      </c>
      <c r="S3">
        <v>0</v>
      </c>
      <c r="T3" s="43">
        <f t="shared" ref="T3:T63" si="3">SUM(N3:S3)</f>
        <v>100</v>
      </c>
      <c r="U3">
        <v>0</v>
      </c>
      <c r="V3">
        <v>672.1</v>
      </c>
      <c r="W3">
        <v>5376.8</v>
      </c>
      <c r="X3">
        <v>672.1</v>
      </c>
      <c r="Y3">
        <v>0</v>
      </c>
      <c r="Z3">
        <v>0</v>
      </c>
      <c r="AA3" s="43">
        <f t="shared" ref="AA3:AA63" si="4">SUM(U3:Z3)-H3</f>
        <v>0</v>
      </c>
      <c r="AB3" t="s">
        <v>76</v>
      </c>
      <c r="AC3" t="s">
        <v>64</v>
      </c>
    </row>
    <row r="4" spans="1:29" x14ac:dyDescent="0.25">
      <c r="A4">
        <v>829</v>
      </c>
      <c r="B4">
        <v>71690</v>
      </c>
      <c r="C4" s="59">
        <v>4.6728971962616823</v>
      </c>
      <c r="D4" s="59">
        <v>88.785046728971963</v>
      </c>
      <c r="E4" s="59">
        <v>0</v>
      </c>
      <c r="F4" s="59">
        <v>6.5420560747663545</v>
      </c>
      <c r="G4" s="59">
        <f t="shared" si="0"/>
        <v>100</v>
      </c>
      <c r="H4">
        <v>3350</v>
      </c>
      <c r="I4">
        <v>63650</v>
      </c>
      <c r="J4">
        <v>0</v>
      </c>
      <c r="K4">
        <v>4689.9999999999991</v>
      </c>
      <c r="L4">
        <f t="shared" si="1"/>
        <v>71690</v>
      </c>
      <c r="M4">
        <f t="shared" si="2"/>
        <v>0</v>
      </c>
      <c r="N4">
        <v>0</v>
      </c>
      <c r="O4">
        <v>30</v>
      </c>
      <c r="P4">
        <v>25</v>
      </c>
      <c r="Q4">
        <v>10</v>
      </c>
      <c r="R4">
        <v>10</v>
      </c>
      <c r="S4">
        <v>25</v>
      </c>
      <c r="T4" s="43">
        <f t="shared" si="3"/>
        <v>100</v>
      </c>
      <c r="U4">
        <v>0</v>
      </c>
      <c r="V4">
        <v>1005</v>
      </c>
      <c r="W4">
        <v>837.5</v>
      </c>
      <c r="X4">
        <v>335</v>
      </c>
      <c r="Y4">
        <v>335</v>
      </c>
      <c r="Z4">
        <v>837.5</v>
      </c>
      <c r="AA4" s="43">
        <f t="shared" si="4"/>
        <v>0</v>
      </c>
      <c r="AB4" t="s">
        <v>76</v>
      </c>
    </row>
    <row r="5" spans="1:29" x14ac:dyDescent="0.25">
      <c r="A5">
        <v>899</v>
      </c>
      <c r="B5">
        <v>99052</v>
      </c>
      <c r="C5" s="59">
        <v>1</v>
      </c>
      <c r="D5" s="59">
        <v>99</v>
      </c>
      <c r="E5" s="59">
        <v>0</v>
      </c>
      <c r="F5" s="59">
        <v>0</v>
      </c>
      <c r="G5" s="59">
        <f t="shared" si="0"/>
        <v>100</v>
      </c>
      <c r="H5">
        <v>990.52</v>
      </c>
      <c r="I5">
        <v>98061.48</v>
      </c>
      <c r="J5">
        <v>0</v>
      </c>
      <c r="K5">
        <v>0</v>
      </c>
      <c r="L5">
        <f t="shared" si="1"/>
        <v>99052</v>
      </c>
      <c r="M5">
        <f t="shared" si="2"/>
        <v>0</v>
      </c>
      <c r="N5" s="18">
        <v>10</v>
      </c>
      <c r="O5" s="18">
        <v>10</v>
      </c>
      <c r="P5" s="18">
        <v>5</v>
      </c>
      <c r="Q5" s="18">
        <v>15</v>
      </c>
      <c r="R5" s="18">
        <v>0</v>
      </c>
      <c r="S5" s="18">
        <v>60</v>
      </c>
      <c r="T5" s="43">
        <f t="shared" si="3"/>
        <v>100</v>
      </c>
      <c r="U5" s="18">
        <v>99.052000000000007</v>
      </c>
      <c r="V5" s="18">
        <v>99.052000000000007</v>
      </c>
      <c r="W5" s="18">
        <v>49.526000000000003</v>
      </c>
      <c r="X5" s="18">
        <v>148.578</v>
      </c>
      <c r="Y5" s="18">
        <v>0</v>
      </c>
      <c r="Z5" s="18">
        <v>594.31200000000001</v>
      </c>
      <c r="AA5" s="43">
        <f t="shared" si="4"/>
        <v>0</v>
      </c>
      <c r="AB5" s="18" t="s">
        <v>76</v>
      </c>
    </row>
    <row r="6" spans="1:29" x14ac:dyDescent="0.25">
      <c r="A6">
        <v>946</v>
      </c>
      <c r="B6">
        <v>83784</v>
      </c>
      <c r="C6" s="59">
        <v>6.3902415735701323</v>
      </c>
      <c r="D6" s="59">
        <v>79.880406760240618</v>
      </c>
      <c r="E6" s="59">
        <v>7.5861739711639453</v>
      </c>
      <c r="F6" s="59">
        <v>6.1431776950253028</v>
      </c>
      <c r="G6" s="59">
        <f t="shared" si="0"/>
        <v>100</v>
      </c>
      <c r="H6">
        <v>5354</v>
      </c>
      <c r="I6">
        <v>66927</v>
      </c>
      <c r="J6">
        <v>6356</v>
      </c>
      <c r="K6">
        <v>5146.9999999999991</v>
      </c>
      <c r="L6">
        <f t="shared" si="1"/>
        <v>83784</v>
      </c>
      <c r="M6">
        <f t="shared" si="2"/>
        <v>0</v>
      </c>
      <c r="N6">
        <v>0.96260234565169289</v>
      </c>
      <c r="O6">
        <v>0</v>
      </c>
      <c r="P6">
        <v>81.456074352732912</v>
      </c>
      <c r="Q6">
        <v>0</v>
      </c>
      <c r="R6">
        <v>17.581323301615402</v>
      </c>
      <c r="S6">
        <v>0</v>
      </c>
      <c r="T6" s="43">
        <f t="shared" si="3"/>
        <v>100</v>
      </c>
      <c r="U6">
        <v>51.537729586191638</v>
      </c>
      <c r="V6">
        <v>0</v>
      </c>
      <c r="W6">
        <v>4361.1582208453201</v>
      </c>
      <c r="X6">
        <v>0</v>
      </c>
      <c r="Y6">
        <v>941.30404956848872</v>
      </c>
      <c r="Z6">
        <v>0</v>
      </c>
      <c r="AA6" s="43">
        <f t="shared" si="4"/>
        <v>0</v>
      </c>
      <c r="AB6" s="18" t="s">
        <v>76</v>
      </c>
      <c r="AC6" t="s">
        <v>64</v>
      </c>
    </row>
    <row r="7" spans="1:29" x14ac:dyDescent="0.25">
      <c r="A7">
        <v>968</v>
      </c>
      <c r="B7">
        <v>164918</v>
      </c>
      <c r="C7" s="59">
        <v>1.4583039373418036</v>
      </c>
      <c r="D7" s="59">
        <v>78.870898019926443</v>
      </c>
      <c r="E7" s="59">
        <v>15.213657292268548</v>
      </c>
      <c r="F7" s="59">
        <v>4.4573772321827851</v>
      </c>
      <c r="G7" s="59">
        <f t="shared" si="0"/>
        <v>100.00023648171958</v>
      </c>
      <c r="H7">
        <v>2405</v>
      </c>
      <c r="I7">
        <v>130072</v>
      </c>
      <c r="J7">
        <v>25090.000000000004</v>
      </c>
      <c r="K7">
        <v>7351</v>
      </c>
      <c r="L7">
        <f t="shared" si="1"/>
        <v>164918</v>
      </c>
      <c r="M7" s="94">
        <f t="shared" si="2"/>
        <v>0</v>
      </c>
      <c r="N7">
        <v>2</v>
      </c>
      <c r="O7">
        <v>3</v>
      </c>
      <c r="P7">
        <v>30</v>
      </c>
      <c r="Q7">
        <v>12</v>
      </c>
      <c r="R7">
        <v>3</v>
      </c>
      <c r="S7">
        <v>50</v>
      </c>
      <c r="T7" s="43">
        <f t="shared" si="3"/>
        <v>100</v>
      </c>
      <c r="U7">
        <v>48.1</v>
      </c>
      <c r="V7">
        <v>72.150000000000006</v>
      </c>
      <c r="W7">
        <v>721.5</v>
      </c>
      <c r="X7">
        <v>288.60000000000002</v>
      </c>
      <c r="Y7">
        <v>72.150000000000006</v>
      </c>
      <c r="Z7">
        <v>1202.5</v>
      </c>
      <c r="AA7" s="43">
        <f t="shared" si="4"/>
        <v>0</v>
      </c>
      <c r="AB7" s="18" t="s">
        <v>76</v>
      </c>
    </row>
    <row r="8" spans="1:29" x14ac:dyDescent="0.25">
      <c r="A8">
        <v>1000</v>
      </c>
      <c r="B8">
        <v>22000</v>
      </c>
      <c r="C8" s="59">
        <v>10</v>
      </c>
      <c r="D8" s="59">
        <v>75</v>
      </c>
      <c r="E8" s="59">
        <v>0</v>
      </c>
      <c r="F8" s="59">
        <v>15</v>
      </c>
      <c r="G8" s="59">
        <f t="shared" si="0"/>
        <v>100</v>
      </c>
      <c r="H8">
        <v>2200</v>
      </c>
      <c r="I8">
        <v>16500</v>
      </c>
      <c r="J8">
        <v>0</v>
      </c>
      <c r="K8">
        <v>3300</v>
      </c>
      <c r="L8">
        <f t="shared" si="1"/>
        <v>22000</v>
      </c>
      <c r="M8">
        <f t="shared" si="2"/>
        <v>0</v>
      </c>
      <c r="N8">
        <v>25</v>
      </c>
      <c r="O8">
        <v>5</v>
      </c>
      <c r="P8">
        <v>25</v>
      </c>
      <c r="Q8">
        <v>5</v>
      </c>
      <c r="R8">
        <v>40</v>
      </c>
      <c r="S8">
        <v>0</v>
      </c>
      <c r="T8" s="43">
        <f t="shared" si="3"/>
        <v>100</v>
      </c>
      <c r="U8">
        <v>550</v>
      </c>
      <c r="V8">
        <v>110</v>
      </c>
      <c r="W8">
        <v>550</v>
      </c>
      <c r="X8">
        <v>110</v>
      </c>
      <c r="Y8">
        <v>880</v>
      </c>
      <c r="Z8">
        <v>0</v>
      </c>
      <c r="AA8" s="43">
        <f t="shared" si="4"/>
        <v>0</v>
      </c>
      <c r="AB8" s="18" t="s">
        <v>76</v>
      </c>
    </row>
    <row r="9" spans="1:29" x14ac:dyDescent="0.25">
      <c r="A9">
        <v>1010</v>
      </c>
      <c r="B9">
        <v>630000</v>
      </c>
      <c r="C9" s="59">
        <v>60</v>
      </c>
      <c r="D9" s="59">
        <v>40</v>
      </c>
      <c r="E9" s="59">
        <v>0</v>
      </c>
      <c r="F9" s="59">
        <v>0</v>
      </c>
      <c r="G9" s="59">
        <f t="shared" si="0"/>
        <v>100</v>
      </c>
      <c r="H9">
        <v>378000</v>
      </c>
      <c r="I9">
        <v>252000</v>
      </c>
      <c r="J9">
        <v>0</v>
      </c>
      <c r="K9">
        <v>0</v>
      </c>
      <c r="L9">
        <f t="shared" si="1"/>
        <v>630000</v>
      </c>
      <c r="M9">
        <f t="shared" si="2"/>
        <v>0</v>
      </c>
      <c r="N9">
        <v>1</v>
      </c>
      <c r="O9">
        <v>2</v>
      </c>
      <c r="P9">
        <v>60</v>
      </c>
      <c r="Q9">
        <v>25</v>
      </c>
      <c r="R9">
        <v>10</v>
      </c>
      <c r="S9">
        <v>2</v>
      </c>
      <c r="T9" s="43">
        <f t="shared" si="3"/>
        <v>100</v>
      </c>
      <c r="U9">
        <v>3780</v>
      </c>
      <c r="V9">
        <v>7560</v>
      </c>
      <c r="W9">
        <v>226800</v>
      </c>
      <c r="X9">
        <v>94500</v>
      </c>
      <c r="Y9">
        <v>37800</v>
      </c>
      <c r="Z9">
        <v>7560</v>
      </c>
      <c r="AA9" s="43">
        <f t="shared" si="4"/>
        <v>0</v>
      </c>
      <c r="AB9" s="18" t="s">
        <v>76</v>
      </c>
    </row>
    <row r="10" spans="1:29" x14ac:dyDescent="0.25">
      <c r="A10">
        <v>1025</v>
      </c>
      <c r="B10">
        <v>505000</v>
      </c>
      <c r="C10" s="59">
        <v>2.9702970297029703</v>
      </c>
      <c r="D10" s="59">
        <v>97.029702970297024</v>
      </c>
      <c r="E10" s="59">
        <v>0</v>
      </c>
      <c r="F10" s="59">
        <v>0</v>
      </c>
      <c r="G10" s="59">
        <f t="shared" si="0"/>
        <v>100</v>
      </c>
      <c r="H10">
        <v>15000</v>
      </c>
      <c r="I10">
        <v>490000</v>
      </c>
      <c r="J10">
        <v>0</v>
      </c>
      <c r="K10">
        <v>0</v>
      </c>
      <c r="L10">
        <f t="shared" si="1"/>
        <v>505000</v>
      </c>
      <c r="M10">
        <f t="shared" si="2"/>
        <v>0</v>
      </c>
      <c r="N10">
        <v>0</v>
      </c>
      <c r="O10">
        <v>0</v>
      </c>
      <c r="P10">
        <v>100</v>
      </c>
      <c r="Q10">
        <v>0</v>
      </c>
      <c r="R10">
        <v>0</v>
      </c>
      <c r="S10">
        <v>0</v>
      </c>
      <c r="T10" s="43">
        <f t="shared" si="3"/>
        <v>100</v>
      </c>
      <c r="U10">
        <v>0</v>
      </c>
      <c r="V10">
        <v>0</v>
      </c>
      <c r="W10">
        <v>15000</v>
      </c>
      <c r="X10">
        <v>0</v>
      </c>
      <c r="Y10">
        <v>0</v>
      </c>
      <c r="Z10">
        <v>0</v>
      </c>
      <c r="AA10" s="43">
        <f t="shared" si="4"/>
        <v>0</v>
      </c>
      <c r="AB10" s="18" t="s">
        <v>76</v>
      </c>
    </row>
    <row r="11" spans="1:29" x14ac:dyDescent="0.25">
      <c r="A11">
        <v>1035</v>
      </c>
      <c r="B11">
        <v>150000</v>
      </c>
      <c r="C11" s="59">
        <v>5</v>
      </c>
      <c r="D11" s="59">
        <v>95</v>
      </c>
      <c r="E11" s="59">
        <v>0</v>
      </c>
      <c r="F11" s="59">
        <v>0</v>
      </c>
      <c r="G11" s="59">
        <f t="shared" si="0"/>
        <v>100</v>
      </c>
      <c r="H11">
        <v>7500</v>
      </c>
      <c r="I11">
        <v>142500</v>
      </c>
      <c r="J11">
        <v>0</v>
      </c>
      <c r="K11">
        <v>0</v>
      </c>
      <c r="L11">
        <f t="shared" si="1"/>
        <v>150000</v>
      </c>
      <c r="M11">
        <f t="shared" si="2"/>
        <v>0</v>
      </c>
      <c r="N11">
        <v>5</v>
      </c>
      <c r="O11">
        <v>10</v>
      </c>
      <c r="P11">
        <v>70</v>
      </c>
      <c r="Q11">
        <v>5</v>
      </c>
      <c r="R11">
        <v>0</v>
      </c>
      <c r="S11">
        <v>10</v>
      </c>
      <c r="T11" s="43">
        <f t="shared" si="3"/>
        <v>100</v>
      </c>
      <c r="U11">
        <v>375</v>
      </c>
      <c r="V11">
        <v>750</v>
      </c>
      <c r="W11">
        <v>5250</v>
      </c>
      <c r="X11">
        <v>375</v>
      </c>
      <c r="Y11">
        <v>0</v>
      </c>
      <c r="Z11">
        <v>750</v>
      </c>
      <c r="AA11" s="43">
        <f t="shared" si="4"/>
        <v>0</v>
      </c>
      <c r="AB11" s="18" t="s">
        <v>76</v>
      </c>
    </row>
    <row r="12" spans="1:29" x14ac:dyDescent="0.25">
      <c r="A12">
        <v>1115</v>
      </c>
      <c r="B12">
        <v>58640</v>
      </c>
      <c r="C12" s="59">
        <v>10</v>
      </c>
      <c r="D12" s="59">
        <v>85</v>
      </c>
      <c r="E12" s="59">
        <v>0</v>
      </c>
      <c r="F12" s="59">
        <v>5</v>
      </c>
      <c r="G12" s="59">
        <f t="shared" si="0"/>
        <v>100</v>
      </c>
      <c r="H12">
        <v>5864</v>
      </c>
      <c r="I12">
        <v>49844</v>
      </c>
      <c r="J12">
        <v>0</v>
      </c>
      <c r="K12">
        <v>2932</v>
      </c>
      <c r="L12">
        <f t="shared" si="1"/>
        <v>58640</v>
      </c>
      <c r="M12">
        <f t="shared" si="2"/>
        <v>0</v>
      </c>
      <c r="N12">
        <v>25</v>
      </c>
      <c r="O12">
        <v>10</v>
      </c>
      <c r="P12">
        <v>20</v>
      </c>
      <c r="Q12">
        <v>5</v>
      </c>
      <c r="R12">
        <v>20</v>
      </c>
      <c r="S12">
        <v>20</v>
      </c>
      <c r="T12" s="43">
        <f t="shared" si="3"/>
        <v>100</v>
      </c>
      <c r="U12">
        <v>1466</v>
      </c>
      <c r="V12">
        <v>586.4</v>
      </c>
      <c r="W12">
        <v>1172.8</v>
      </c>
      <c r="X12">
        <v>293.2</v>
      </c>
      <c r="Y12">
        <v>1172.8</v>
      </c>
      <c r="Z12">
        <v>1172.8</v>
      </c>
      <c r="AA12" s="43">
        <f t="shared" si="4"/>
        <v>0</v>
      </c>
      <c r="AB12" s="18" t="s">
        <v>76</v>
      </c>
    </row>
    <row r="13" spans="1:29" x14ac:dyDescent="0.25">
      <c r="A13">
        <v>1134</v>
      </c>
      <c r="B13">
        <v>320000</v>
      </c>
      <c r="C13" s="59">
        <v>8</v>
      </c>
      <c r="D13" s="59">
        <v>92</v>
      </c>
      <c r="E13" s="59">
        <v>0</v>
      </c>
      <c r="F13" s="59">
        <v>0</v>
      </c>
      <c r="G13" s="59">
        <f t="shared" si="0"/>
        <v>100</v>
      </c>
      <c r="H13">
        <v>25600</v>
      </c>
      <c r="I13">
        <v>294400</v>
      </c>
      <c r="J13">
        <v>0</v>
      </c>
      <c r="K13">
        <v>0</v>
      </c>
      <c r="L13">
        <f t="shared" si="1"/>
        <v>320000</v>
      </c>
      <c r="M13">
        <f t="shared" si="2"/>
        <v>0</v>
      </c>
      <c r="N13">
        <v>5</v>
      </c>
      <c r="O13">
        <v>5</v>
      </c>
      <c r="P13">
        <v>50</v>
      </c>
      <c r="Q13">
        <v>5</v>
      </c>
      <c r="R13">
        <v>25</v>
      </c>
      <c r="S13">
        <v>10</v>
      </c>
      <c r="T13" s="43">
        <f t="shared" si="3"/>
        <v>100</v>
      </c>
      <c r="U13">
        <v>1280</v>
      </c>
      <c r="V13">
        <v>1280</v>
      </c>
      <c r="W13">
        <v>12800</v>
      </c>
      <c r="X13">
        <v>1280</v>
      </c>
      <c r="Y13">
        <v>6400</v>
      </c>
      <c r="Z13">
        <v>2560</v>
      </c>
      <c r="AA13" s="43">
        <f t="shared" si="4"/>
        <v>0</v>
      </c>
      <c r="AB13" s="18" t="s">
        <v>76</v>
      </c>
      <c r="AC13" t="s">
        <v>64</v>
      </c>
    </row>
    <row r="14" spans="1:29" x14ac:dyDescent="0.25">
      <c r="A14">
        <v>1150</v>
      </c>
      <c r="B14">
        <v>41516</v>
      </c>
      <c r="C14" s="59">
        <v>1.3275981095002922</v>
      </c>
      <c r="D14" s="59">
        <v>90.574053422547934</v>
      </c>
      <c r="E14" s="59">
        <v>1.7391535234453828</v>
      </c>
      <c r="F14" s="59">
        <v>6.3591949445063998</v>
      </c>
      <c r="G14" s="59">
        <f t="shared" si="0"/>
        <v>100</v>
      </c>
      <c r="H14">
        <v>551.16563114014139</v>
      </c>
      <c r="I14">
        <v>37602.724018904999</v>
      </c>
      <c r="J14">
        <v>722.02697679358505</v>
      </c>
      <c r="K14">
        <v>2640.0833731612765</v>
      </c>
      <c r="L14">
        <f t="shared" si="1"/>
        <v>41516</v>
      </c>
      <c r="M14">
        <f t="shared" si="2"/>
        <v>0</v>
      </c>
      <c r="N14">
        <v>10</v>
      </c>
      <c r="O14">
        <v>10</v>
      </c>
      <c r="P14">
        <v>60</v>
      </c>
      <c r="Q14">
        <v>20</v>
      </c>
      <c r="R14">
        <v>0</v>
      </c>
      <c r="S14">
        <v>0</v>
      </c>
      <c r="T14" s="43">
        <f t="shared" si="3"/>
        <v>100</v>
      </c>
      <c r="U14">
        <v>55.116563114014134</v>
      </c>
      <c r="V14">
        <v>55.116563114014134</v>
      </c>
      <c r="W14">
        <v>330.69937868408482</v>
      </c>
      <c r="X14">
        <v>110.23312622802827</v>
      </c>
      <c r="Y14">
        <v>0</v>
      </c>
      <c r="Z14">
        <v>0</v>
      </c>
      <c r="AA14" s="43">
        <f t="shared" si="4"/>
        <v>0</v>
      </c>
      <c r="AB14" s="18" t="s">
        <v>76</v>
      </c>
    </row>
    <row r="15" spans="1:29" x14ac:dyDescent="0.25">
      <c r="A15">
        <v>1194</v>
      </c>
      <c r="B15">
        <v>90000</v>
      </c>
      <c r="C15" s="59">
        <v>3.3333333333333335</v>
      </c>
      <c r="D15" s="59">
        <v>53.333333333333336</v>
      </c>
      <c r="E15" s="59">
        <v>18.888888888888889</v>
      </c>
      <c r="F15" s="59">
        <v>24.444444444444443</v>
      </c>
      <c r="G15" s="59">
        <f t="shared" si="0"/>
        <v>100</v>
      </c>
      <c r="H15">
        <v>3000</v>
      </c>
      <c r="I15">
        <v>48000</v>
      </c>
      <c r="J15">
        <v>17000</v>
      </c>
      <c r="K15">
        <v>22000</v>
      </c>
      <c r="L15">
        <f t="shared" si="1"/>
        <v>90000</v>
      </c>
      <c r="M15">
        <f t="shared" si="2"/>
        <v>0</v>
      </c>
      <c r="N15">
        <v>5</v>
      </c>
      <c r="O15">
        <v>5</v>
      </c>
      <c r="P15">
        <v>30</v>
      </c>
      <c r="Q15">
        <v>30</v>
      </c>
      <c r="R15">
        <v>0</v>
      </c>
      <c r="S15">
        <v>30</v>
      </c>
      <c r="T15" s="43">
        <f t="shared" si="3"/>
        <v>100</v>
      </c>
      <c r="U15">
        <v>150</v>
      </c>
      <c r="V15">
        <v>150</v>
      </c>
      <c r="W15">
        <v>900</v>
      </c>
      <c r="X15">
        <v>900</v>
      </c>
      <c r="Y15">
        <v>0</v>
      </c>
      <c r="Z15">
        <v>900</v>
      </c>
      <c r="AA15" s="43">
        <f t="shared" si="4"/>
        <v>0</v>
      </c>
      <c r="AB15" s="18" t="s">
        <v>76</v>
      </c>
    </row>
    <row r="16" spans="1:29" x14ac:dyDescent="0.25">
      <c r="A16">
        <v>1210</v>
      </c>
      <c r="B16">
        <v>630000</v>
      </c>
      <c r="C16" s="59">
        <v>60</v>
      </c>
      <c r="D16" s="59">
        <v>40</v>
      </c>
      <c r="E16" s="59">
        <v>0</v>
      </c>
      <c r="F16" s="59">
        <v>0</v>
      </c>
      <c r="G16" s="59">
        <f t="shared" si="0"/>
        <v>100</v>
      </c>
      <c r="H16">
        <v>378000</v>
      </c>
      <c r="I16">
        <v>252000</v>
      </c>
      <c r="J16">
        <v>0</v>
      </c>
      <c r="K16">
        <v>0</v>
      </c>
      <c r="L16">
        <f t="shared" si="1"/>
        <v>630000</v>
      </c>
      <c r="M16">
        <f t="shared" si="2"/>
        <v>0</v>
      </c>
      <c r="N16">
        <v>1</v>
      </c>
      <c r="O16">
        <v>2</v>
      </c>
      <c r="P16">
        <v>60</v>
      </c>
      <c r="Q16">
        <v>25</v>
      </c>
      <c r="R16">
        <v>10</v>
      </c>
      <c r="S16">
        <v>2</v>
      </c>
      <c r="T16" s="43">
        <f t="shared" si="3"/>
        <v>100</v>
      </c>
      <c r="U16">
        <v>3780</v>
      </c>
      <c r="V16">
        <v>7560</v>
      </c>
      <c r="W16">
        <v>226800</v>
      </c>
      <c r="X16">
        <v>94500</v>
      </c>
      <c r="Y16">
        <v>37800</v>
      </c>
      <c r="Z16">
        <v>7560</v>
      </c>
      <c r="AA16" s="43">
        <f t="shared" si="4"/>
        <v>0</v>
      </c>
      <c r="AB16" s="18" t="s">
        <v>76</v>
      </c>
    </row>
    <row r="17" spans="1:29" x14ac:dyDescent="0.25">
      <c r="A17">
        <v>1234</v>
      </c>
      <c r="B17">
        <v>7898</v>
      </c>
      <c r="C17" s="59">
        <v>12</v>
      </c>
      <c r="D17" s="59">
        <v>12</v>
      </c>
      <c r="E17" s="59">
        <v>43</v>
      </c>
      <c r="F17" s="59">
        <v>33</v>
      </c>
      <c r="G17" s="59">
        <f t="shared" si="0"/>
        <v>100</v>
      </c>
      <c r="H17">
        <v>947.76</v>
      </c>
      <c r="I17">
        <v>947.76</v>
      </c>
      <c r="J17">
        <v>3396.14</v>
      </c>
      <c r="K17">
        <v>2606.34</v>
      </c>
      <c r="L17">
        <f t="shared" si="1"/>
        <v>7898</v>
      </c>
      <c r="M17">
        <f t="shared" si="2"/>
        <v>0</v>
      </c>
      <c r="N17">
        <v>12</v>
      </c>
      <c r="O17">
        <v>12</v>
      </c>
      <c r="P17">
        <v>12</v>
      </c>
      <c r="Q17">
        <v>12</v>
      </c>
      <c r="R17">
        <v>12</v>
      </c>
      <c r="S17">
        <v>40</v>
      </c>
      <c r="T17" s="43">
        <f t="shared" si="3"/>
        <v>100</v>
      </c>
      <c r="U17">
        <v>113.73119999999999</v>
      </c>
      <c r="V17">
        <v>113.73119999999999</v>
      </c>
      <c r="W17">
        <v>113.73119999999999</v>
      </c>
      <c r="X17">
        <v>113.73119999999999</v>
      </c>
      <c r="Y17">
        <v>113.73119999999999</v>
      </c>
      <c r="Z17">
        <v>379.10400000000004</v>
      </c>
      <c r="AA17" s="43">
        <f t="shared" si="4"/>
        <v>0</v>
      </c>
      <c r="AB17" s="18" t="s">
        <v>76</v>
      </c>
    </row>
    <row r="18" spans="1:29" x14ac:dyDescent="0.25">
      <c r="A18">
        <v>1252</v>
      </c>
      <c r="B18">
        <v>60000</v>
      </c>
      <c r="C18" s="59">
        <v>5</v>
      </c>
      <c r="D18" s="59">
        <v>90</v>
      </c>
      <c r="E18" s="59">
        <v>0</v>
      </c>
      <c r="F18" s="59">
        <v>5</v>
      </c>
      <c r="G18" s="59">
        <f t="shared" si="0"/>
        <v>100</v>
      </c>
      <c r="H18">
        <v>3000</v>
      </c>
      <c r="I18">
        <v>54000</v>
      </c>
      <c r="J18">
        <v>0</v>
      </c>
      <c r="K18">
        <v>3000</v>
      </c>
      <c r="L18">
        <f t="shared" si="1"/>
        <v>60000</v>
      </c>
      <c r="M18">
        <f t="shared" si="2"/>
        <v>0</v>
      </c>
      <c r="N18">
        <v>15</v>
      </c>
      <c r="O18">
        <v>15</v>
      </c>
      <c r="P18">
        <v>40</v>
      </c>
      <c r="Q18">
        <v>20</v>
      </c>
      <c r="R18">
        <v>0</v>
      </c>
      <c r="S18">
        <v>10</v>
      </c>
      <c r="T18" s="43">
        <f t="shared" si="3"/>
        <v>100</v>
      </c>
      <c r="U18">
        <v>450</v>
      </c>
      <c r="V18">
        <v>450</v>
      </c>
      <c r="W18">
        <v>1200</v>
      </c>
      <c r="X18">
        <v>600</v>
      </c>
      <c r="Y18">
        <v>0</v>
      </c>
      <c r="Z18">
        <v>300</v>
      </c>
      <c r="AA18" s="43">
        <f t="shared" si="4"/>
        <v>0</v>
      </c>
      <c r="AB18" s="11" t="s">
        <v>76</v>
      </c>
    </row>
    <row r="19" spans="1:29" x14ac:dyDescent="0.25">
      <c r="A19">
        <v>1265</v>
      </c>
      <c r="B19">
        <v>45721</v>
      </c>
      <c r="C19" s="59">
        <v>10.3</v>
      </c>
      <c r="D19" s="59">
        <v>82.7</v>
      </c>
      <c r="E19" s="59">
        <v>3</v>
      </c>
      <c r="F19" s="59">
        <v>4</v>
      </c>
      <c r="G19" s="59">
        <f t="shared" si="0"/>
        <v>100</v>
      </c>
      <c r="H19">
        <v>4709.2630000000008</v>
      </c>
      <c r="I19">
        <v>37811.267</v>
      </c>
      <c r="J19">
        <v>1371.63</v>
      </c>
      <c r="K19">
        <v>1828.8400000000001</v>
      </c>
      <c r="L19">
        <f t="shared" si="1"/>
        <v>45721</v>
      </c>
      <c r="M19">
        <f t="shared" si="2"/>
        <v>0</v>
      </c>
      <c r="N19">
        <v>9.7087378640776698E-2</v>
      </c>
      <c r="O19">
        <v>9.7087378640776698E-2</v>
      </c>
      <c r="P19">
        <v>0.77669902912621358</v>
      </c>
      <c r="Q19">
        <v>1.9417475728155338</v>
      </c>
      <c r="R19">
        <v>0</v>
      </c>
      <c r="S19">
        <v>97.087378640776691</v>
      </c>
      <c r="T19" s="43">
        <f t="shared" si="3"/>
        <v>99.999999999999986</v>
      </c>
      <c r="U19">
        <v>4.5721000000000007</v>
      </c>
      <c r="V19">
        <v>4.5721000000000007</v>
      </c>
      <c r="W19">
        <v>36.576800000000006</v>
      </c>
      <c r="X19">
        <v>91.442000000000007</v>
      </c>
      <c r="Y19">
        <v>0</v>
      </c>
      <c r="Z19">
        <v>4572.1000000000004</v>
      </c>
      <c r="AA19" s="43">
        <f t="shared" si="4"/>
        <v>0</v>
      </c>
      <c r="AB19" s="18" t="s">
        <v>76</v>
      </c>
      <c r="AC19" t="s">
        <v>64</v>
      </c>
    </row>
    <row r="20" spans="1:29" x14ac:dyDescent="0.25">
      <c r="A20">
        <v>1293</v>
      </c>
      <c r="B20">
        <v>100000</v>
      </c>
      <c r="C20" s="59">
        <v>15</v>
      </c>
      <c r="D20" s="59">
        <v>85</v>
      </c>
      <c r="E20" s="59">
        <v>0</v>
      </c>
      <c r="F20" s="59">
        <v>0</v>
      </c>
      <c r="G20" s="59">
        <f t="shared" si="0"/>
        <v>100</v>
      </c>
      <c r="H20">
        <v>15000</v>
      </c>
      <c r="I20">
        <v>85000</v>
      </c>
      <c r="J20">
        <v>0</v>
      </c>
      <c r="K20">
        <v>0</v>
      </c>
      <c r="L20">
        <f t="shared" si="1"/>
        <v>100000</v>
      </c>
      <c r="M20">
        <f t="shared" si="2"/>
        <v>0</v>
      </c>
      <c r="N20">
        <v>5</v>
      </c>
      <c r="O20">
        <v>1</v>
      </c>
      <c r="P20">
        <v>69</v>
      </c>
      <c r="Q20">
        <v>15</v>
      </c>
      <c r="R20">
        <v>5</v>
      </c>
      <c r="S20">
        <v>5</v>
      </c>
      <c r="T20" s="43">
        <f t="shared" si="3"/>
        <v>100</v>
      </c>
      <c r="U20">
        <v>750</v>
      </c>
      <c r="V20">
        <v>150</v>
      </c>
      <c r="W20">
        <v>10350</v>
      </c>
      <c r="X20">
        <v>2250</v>
      </c>
      <c r="Y20">
        <v>750</v>
      </c>
      <c r="Z20">
        <v>750</v>
      </c>
      <c r="AA20" s="43">
        <f t="shared" si="4"/>
        <v>0</v>
      </c>
      <c r="AB20" s="18" t="s">
        <v>76</v>
      </c>
    </row>
    <row r="21" spans="1:29" x14ac:dyDescent="0.25">
      <c r="A21">
        <v>1299</v>
      </c>
      <c r="B21">
        <v>29350</v>
      </c>
      <c r="C21" s="59">
        <v>15</v>
      </c>
      <c r="D21" s="59">
        <v>80</v>
      </c>
      <c r="E21" s="59">
        <v>5</v>
      </c>
      <c r="F21" s="59">
        <v>0</v>
      </c>
      <c r="G21" s="59">
        <f t="shared" si="0"/>
        <v>100</v>
      </c>
      <c r="H21">
        <v>4402.5</v>
      </c>
      <c r="I21">
        <v>23480</v>
      </c>
      <c r="J21">
        <v>1467.5</v>
      </c>
      <c r="K21">
        <v>0</v>
      </c>
      <c r="L21">
        <f t="shared" si="1"/>
        <v>29350</v>
      </c>
      <c r="M21">
        <f t="shared" si="2"/>
        <v>0</v>
      </c>
      <c r="N21">
        <v>5</v>
      </c>
      <c r="O21">
        <v>5</v>
      </c>
      <c r="P21">
        <v>70</v>
      </c>
      <c r="Q21">
        <v>5</v>
      </c>
      <c r="R21">
        <v>10</v>
      </c>
      <c r="S21">
        <v>5</v>
      </c>
      <c r="T21" s="43">
        <f t="shared" si="3"/>
        <v>100</v>
      </c>
      <c r="U21">
        <v>220.125</v>
      </c>
      <c r="V21">
        <v>220.125</v>
      </c>
      <c r="W21">
        <v>3081.75</v>
      </c>
      <c r="X21">
        <v>220.125</v>
      </c>
      <c r="Y21">
        <v>440.25</v>
      </c>
      <c r="Z21">
        <v>220.125</v>
      </c>
      <c r="AA21" s="43">
        <f t="shared" si="4"/>
        <v>0</v>
      </c>
      <c r="AB21" s="18" t="s">
        <v>76</v>
      </c>
    </row>
    <row r="22" spans="1:29" x14ac:dyDescent="0.25">
      <c r="A22">
        <v>1311</v>
      </c>
      <c r="B22">
        <v>199695</v>
      </c>
      <c r="C22" s="59">
        <v>18.33440127630082</v>
      </c>
      <c r="D22" s="59">
        <v>81.66559872369919</v>
      </c>
      <c r="E22" s="59">
        <v>0</v>
      </c>
      <c r="F22" s="59">
        <v>0</v>
      </c>
      <c r="G22" s="59">
        <f t="shared" si="0"/>
        <v>100.00000000000001</v>
      </c>
      <c r="H22">
        <v>36612.882628708925</v>
      </c>
      <c r="I22">
        <v>163082.1173712911</v>
      </c>
      <c r="J22">
        <v>0</v>
      </c>
      <c r="K22">
        <v>0</v>
      </c>
      <c r="L22">
        <f t="shared" si="1"/>
        <v>199695.00000000003</v>
      </c>
      <c r="M22">
        <f t="shared" si="2"/>
        <v>0</v>
      </c>
      <c r="N22">
        <v>4</v>
      </c>
      <c r="O22">
        <v>4</v>
      </c>
      <c r="P22">
        <v>85</v>
      </c>
      <c r="Q22">
        <v>2</v>
      </c>
      <c r="R22">
        <v>0</v>
      </c>
      <c r="S22">
        <v>5</v>
      </c>
      <c r="T22" s="43">
        <f t="shared" si="3"/>
        <v>100</v>
      </c>
      <c r="U22">
        <v>1464.5153051483571</v>
      </c>
      <c r="V22">
        <v>1464.5153051483571</v>
      </c>
      <c r="W22">
        <v>31120.950234402586</v>
      </c>
      <c r="X22">
        <v>732.25765257417856</v>
      </c>
      <c r="Y22">
        <v>0</v>
      </c>
      <c r="Z22">
        <v>1830.6441314354463</v>
      </c>
      <c r="AA22" s="43">
        <f t="shared" si="4"/>
        <v>0</v>
      </c>
      <c r="AB22" s="18" t="s">
        <v>76</v>
      </c>
    </row>
    <row r="23" spans="1:29" x14ac:dyDescent="0.25">
      <c r="A23">
        <v>1333</v>
      </c>
      <c r="B23">
        <v>280000</v>
      </c>
      <c r="C23" s="59">
        <v>8</v>
      </c>
      <c r="D23" s="59">
        <v>86</v>
      </c>
      <c r="E23" s="59">
        <v>6</v>
      </c>
      <c r="F23" s="59">
        <v>0</v>
      </c>
      <c r="G23" s="59">
        <f t="shared" si="0"/>
        <v>100</v>
      </c>
      <c r="H23">
        <v>22400</v>
      </c>
      <c r="I23">
        <v>240800</v>
      </c>
      <c r="J23">
        <v>16800</v>
      </c>
      <c r="K23">
        <v>0</v>
      </c>
      <c r="L23">
        <f t="shared" si="1"/>
        <v>280000</v>
      </c>
      <c r="M23">
        <f t="shared" si="2"/>
        <v>0</v>
      </c>
      <c r="N23">
        <v>0</v>
      </c>
      <c r="O23">
        <v>2</v>
      </c>
      <c r="P23">
        <v>10</v>
      </c>
      <c r="Q23">
        <v>11</v>
      </c>
      <c r="R23">
        <v>8</v>
      </c>
      <c r="S23">
        <v>69</v>
      </c>
      <c r="T23" s="43">
        <f t="shared" si="3"/>
        <v>100</v>
      </c>
      <c r="U23">
        <v>0</v>
      </c>
      <c r="V23">
        <v>448</v>
      </c>
      <c r="W23">
        <v>2240</v>
      </c>
      <c r="X23">
        <v>2464</v>
      </c>
      <c r="Y23">
        <v>1792</v>
      </c>
      <c r="Z23">
        <v>15456</v>
      </c>
      <c r="AA23" s="43">
        <f t="shared" si="4"/>
        <v>0</v>
      </c>
      <c r="AB23" s="18" t="s">
        <v>76</v>
      </c>
    </row>
    <row r="24" spans="1:29" x14ac:dyDescent="0.25">
      <c r="A24">
        <v>1361</v>
      </c>
      <c r="B24">
        <v>250000</v>
      </c>
      <c r="C24" s="59">
        <v>10</v>
      </c>
      <c r="D24" s="59">
        <v>90</v>
      </c>
      <c r="E24" s="59">
        <v>0</v>
      </c>
      <c r="F24" s="59">
        <v>0</v>
      </c>
      <c r="G24" s="59">
        <f t="shared" si="0"/>
        <v>100</v>
      </c>
      <c r="H24">
        <v>25000</v>
      </c>
      <c r="I24">
        <v>225000</v>
      </c>
      <c r="J24">
        <v>0</v>
      </c>
      <c r="K24">
        <v>0</v>
      </c>
      <c r="L24">
        <f t="shared" si="1"/>
        <v>250000</v>
      </c>
      <c r="M24">
        <f t="shared" si="2"/>
        <v>0</v>
      </c>
      <c r="N24">
        <v>10</v>
      </c>
      <c r="O24">
        <v>5</v>
      </c>
      <c r="P24">
        <v>60</v>
      </c>
      <c r="Q24">
        <v>20</v>
      </c>
      <c r="R24">
        <v>0</v>
      </c>
      <c r="S24">
        <v>5</v>
      </c>
      <c r="T24" s="43">
        <f t="shared" si="3"/>
        <v>100</v>
      </c>
      <c r="U24">
        <v>2500</v>
      </c>
      <c r="V24">
        <v>1250</v>
      </c>
      <c r="W24">
        <v>15000</v>
      </c>
      <c r="X24">
        <v>5000</v>
      </c>
      <c r="Y24">
        <v>0</v>
      </c>
      <c r="Z24">
        <v>1250</v>
      </c>
      <c r="AA24" s="43">
        <f t="shared" si="4"/>
        <v>0</v>
      </c>
      <c r="AB24" s="18" t="s">
        <v>76</v>
      </c>
    </row>
    <row r="25" spans="1:29" x14ac:dyDescent="0.25">
      <c r="A25">
        <v>1385</v>
      </c>
      <c r="B25">
        <v>166123</v>
      </c>
      <c r="C25" s="59">
        <v>2</v>
      </c>
      <c r="D25" s="59">
        <v>68</v>
      </c>
      <c r="E25" s="59">
        <v>6</v>
      </c>
      <c r="F25" s="59">
        <v>24</v>
      </c>
      <c r="G25" s="59">
        <f t="shared" si="0"/>
        <v>100</v>
      </c>
      <c r="H25">
        <v>3322.46</v>
      </c>
      <c r="I25">
        <v>112963.64</v>
      </c>
      <c r="J25">
        <v>9967.380000000001</v>
      </c>
      <c r="K25">
        <v>39869.520000000004</v>
      </c>
      <c r="L25">
        <f t="shared" si="1"/>
        <v>166123</v>
      </c>
      <c r="M25">
        <f t="shared" si="2"/>
        <v>0</v>
      </c>
      <c r="N25">
        <v>10</v>
      </c>
      <c r="O25">
        <v>10</v>
      </c>
      <c r="P25">
        <v>10</v>
      </c>
      <c r="Q25">
        <v>10</v>
      </c>
      <c r="R25">
        <v>50</v>
      </c>
      <c r="S25">
        <v>10</v>
      </c>
      <c r="T25" s="43">
        <f t="shared" si="3"/>
        <v>100</v>
      </c>
      <c r="U25">
        <v>332.24599999999998</v>
      </c>
      <c r="V25">
        <v>332.24599999999998</v>
      </c>
      <c r="W25">
        <v>332.24599999999998</v>
      </c>
      <c r="X25">
        <v>332.24599999999998</v>
      </c>
      <c r="Y25">
        <v>1661.23</v>
      </c>
      <c r="Z25">
        <v>332.24599999999998</v>
      </c>
      <c r="AA25" s="43">
        <f t="shared" si="4"/>
        <v>0</v>
      </c>
      <c r="AB25" s="18" t="s">
        <v>76</v>
      </c>
    </row>
    <row r="26" spans="1:29" x14ac:dyDescent="0.25">
      <c r="A26">
        <v>1488</v>
      </c>
      <c r="B26">
        <v>38843</v>
      </c>
      <c r="C26" s="59">
        <v>1</v>
      </c>
      <c r="D26" s="59">
        <v>85</v>
      </c>
      <c r="E26" s="59">
        <v>10</v>
      </c>
      <c r="F26" s="59">
        <v>4</v>
      </c>
      <c r="G26" s="59">
        <f t="shared" si="0"/>
        <v>100</v>
      </c>
      <c r="H26">
        <v>388.43</v>
      </c>
      <c r="I26">
        <v>33016.550000000003</v>
      </c>
      <c r="J26">
        <v>3884.3</v>
      </c>
      <c r="K26">
        <v>1553.72</v>
      </c>
      <c r="L26">
        <f t="shared" si="1"/>
        <v>38843.000000000007</v>
      </c>
      <c r="M26">
        <f t="shared" si="2"/>
        <v>0</v>
      </c>
      <c r="N26">
        <v>4</v>
      </c>
      <c r="O26">
        <v>4</v>
      </c>
      <c r="P26">
        <v>15</v>
      </c>
      <c r="Q26">
        <v>50</v>
      </c>
      <c r="R26">
        <v>3</v>
      </c>
      <c r="S26">
        <v>24</v>
      </c>
      <c r="T26" s="43">
        <f t="shared" si="3"/>
        <v>100</v>
      </c>
      <c r="U26">
        <v>15.5372</v>
      </c>
      <c r="V26">
        <v>15.5372</v>
      </c>
      <c r="W26">
        <v>58.264499999999998</v>
      </c>
      <c r="X26">
        <v>194.215</v>
      </c>
      <c r="Y26">
        <v>11.652900000000001</v>
      </c>
      <c r="Z26">
        <v>93.223200000000006</v>
      </c>
      <c r="AA26" s="43">
        <f t="shared" si="4"/>
        <v>0</v>
      </c>
      <c r="AB26" s="18" t="s">
        <v>76</v>
      </c>
    </row>
    <row r="27" spans="1:29" x14ac:dyDescent="0.25">
      <c r="A27">
        <v>1496</v>
      </c>
      <c r="B27">
        <v>12000</v>
      </c>
      <c r="C27" s="59">
        <v>6</v>
      </c>
      <c r="D27" s="59">
        <v>90</v>
      </c>
      <c r="E27" s="59">
        <v>1</v>
      </c>
      <c r="F27" s="59">
        <v>3</v>
      </c>
      <c r="G27" s="59">
        <f t="shared" si="0"/>
        <v>100</v>
      </c>
      <c r="H27">
        <v>720</v>
      </c>
      <c r="I27">
        <v>10800</v>
      </c>
      <c r="J27">
        <v>120</v>
      </c>
      <c r="K27">
        <v>360</v>
      </c>
      <c r="L27">
        <f t="shared" si="1"/>
        <v>12000</v>
      </c>
      <c r="M27">
        <f t="shared" si="2"/>
        <v>0</v>
      </c>
      <c r="N27">
        <v>10</v>
      </c>
      <c r="O27">
        <v>5</v>
      </c>
      <c r="P27">
        <v>40</v>
      </c>
      <c r="Q27">
        <v>12.5</v>
      </c>
      <c r="R27">
        <v>12.5</v>
      </c>
      <c r="S27">
        <v>20</v>
      </c>
      <c r="T27" s="43">
        <f t="shared" si="3"/>
        <v>100</v>
      </c>
      <c r="U27">
        <v>72</v>
      </c>
      <c r="V27">
        <v>36</v>
      </c>
      <c r="W27">
        <v>288</v>
      </c>
      <c r="X27">
        <v>90</v>
      </c>
      <c r="Y27">
        <v>90</v>
      </c>
      <c r="Z27">
        <v>144</v>
      </c>
      <c r="AA27" s="43">
        <f t="shared" si="4"/>
        <v>0</v>
      </c>
      <c r="AB27" s="18" t="s">
        <v>76</v>
      </c>
    </row>
    <row r="28" spans="1:29" x14ac:dyDescent="0.25">
      <c r="A28">
        <v>1497</v>
      </c>
      <c r="B28">
        <v>17000</v>
      </c>
      <c r="C28" s="59">
        <v>4.4117647058823533</v>
      </c>
      <c r="D28" s="59">
        <v>83.529411764705884</v>
      </c>
      <c r="E28" s="59">
        <v>0.88235294117647056</v>
      </c>
      <c r="F28" s="59">
        <v>11.176470588235295</v>
      </c>
      <c r="G28" s="59">
        <f t="shared" si="0"/>
        <v>99.999999999999986</v>
      </c>
      <c r="H28">
        <v>750</v>
      </c>
      <c r="I28">
        <v>14200</v>
      </c>
      <c r="J28">
        <v>150</v>
      </c>
      <c r="K28">
        <v>1900.0000000000002</v>
      </c>
      <c r="L28">
        <f t="shared" si="1"/>
        <v>17000</v>
      </c>
      <c r="M28">
        <f t="shared" si="2"/>
        <v>0</v>
      </c>
      <c r="N28">
        <v>0</v>
      </c>
      <c r="O28">
        <v>4</v>
      </c>
      <c r="P28">
        <v>66.666666666666657</v>
      </c>
      <c r="Q28">
        <v>6.666666666666667</v>
      </c>
      <c r="R28">
        <v>0</v>
      </c>
      <c r="S28">
        <v>22.666666666666664</v>
      </c>
      <c r="T28" s="43">
        <f t="shared" si="3"/>
        <v>100</v>
      </c>
      <c r="U28">
        <v>0</v>
      </c>
      <c r="V28">
        <v>30</v>
      </c>
      <c r="W28">
        <v>499.99999999999994</v>
      </c>
      <c r="X28">
        <v>50</v>
      </c>
      <c r="Y28">
        <v>0</v>
      </c>
      <c r="Z28">
        <v>170</v>
      </c>
      <c r="AA28" s="43">
        <f t="shared" si="4"/>
        <v>0</v>
      </c>
      <c r="AB28" s="18" t="s">
        <v>76</v>
      </c>
    </row>
    <row r="29" spans="1:29" x14ac:dyDescent="0.25">
      <c r="A29">
        <v>1503</v>
      </c>
      <c r="B29">
        <v>86622</v>
      </c>
      <c r="C29" s="59">
        <v>10</v>
      </c>
      <c r="D29" s="59">
        <v>89</v>
      </c>
      <c r="E29" s="59">
        <v>1</v>
      </c>
      <c r="F29" s="59">
        <v>0</v>
      </c>
      <c r="G29" s="59">
        <f t="shared" si="0"/>
        <v>100</v>
      </c>
      <c r="H29">
        <v>8662.2000000000007</v>
      </c>
      <c r="I29">
        <v>77093.58</v>
      </c>
      <c r="J29">
        <v>866.22</v>
      </c>
      <c r="K29">
        <v>0</v>
      </c>
      <c r="L29">
        <f t="shared" si="1"/>
        <v>86622</v>
      </c>
      <c r="M29" s="94">
        <f>L29-B29</f>
        <v>0</v>
      </c>
      <c r="N29">
        <v>5</v>
      </c>
      <c r="O29">
        <v>5</v>
      </c>
      <c r="P29">
        <v>5</v>
      </c>
      <c r="Q29">
        <v>10</v>
      </c>
      <c r="R29">
        <v>5</v>
      </c>
      <c r="S29">
        <v>70</v>
      </c>
      <c r="T29" s="43">
        <f t="shared" si="3"/>
        <v>100</v>
      </c>
      <c r="U29">
        <v>433.11</v>
      </c>
      <c r="V29">
        <v>433.11</v>
      </c>
      <c r="W29">
        <v>433.11</v>
      </c>
      <c r="X29">
        <v>866.22</v>
      </c>
      <c r="Y29">
        <v>433.11</v>
      </c>
      <c r="Z29">
        <v>6063.54</v>
      </c>
      <c r="AA29" s="43">
        <f t="shared" si="4"/>
        <v>0</v>
      </c>
      <c r="AB29" s="18" t="s">
        <v>76</v>
      </c>
    </row>
    <row r="30" spans="1:29" x14ac:dyDescent="0.25">
      <c r="A30">
        <v>1593</v>
      </c>
      <c r="B30">
        <v>70400</v>
      </c>
      <c r="C30" s="59">
        <v>1.4362450808605982</v>
      </c>
      <c r="D30" s="59">
        <v>78.993479447332888</v>
      </c>
      <c r="E30" s="59">
        <v>18.85215293137621</v>
      </c>
      <c r="F30" s="59">
        <v>0.71812254043029911</v>
      </c>
      <c r="G30" s="59">
        <f t="shared" si="0"/>
        <v>100</v>
      </c>
      <c r="H30">
        <v>1011.1165369258612</v>
      </c>
      <c r="I30">
        <v>55611.409530922356</v>
      </c>
      <c r="J30">
        <v>13271.915663688851</v>
      </c>
      <c r="K30">
        <v>505.55826846293058</v>
      </c>
      <c r="L30">
        <f t="shared" si="1"/>
        <v>70400</v>
      </c>
      <c r="M30">
        <f t="shared" si="2"/>
        <v>0</v>
      </c>
      <c r="N30">
        <v>5</v>
      </c>
      <c r="O30">
        <v>5</v>
      </c>
      <c r="P30">
        <v>48</v>
      </c>
      <c r="Q30">
        <v>2</v>
      </c>
      <c r="R30">
        <v>30</v>
      </c>
      <c r="S30">
        <v>10</v>
      </c>
      <c r="T30" s="43">
        <f t="shared" si="3"/>
        <v>100</v>
      </c>
      <c r="U30">
        <v>50.555826846293058</v>
      </c>
      <c r="V30">
        <v>50.555826846293058</v>
      </c>
      <c r="W30">
        <v>485.33593772441338</v>
      </c>
      <c r="X30">
        <v>20.222330738517226</v>
      </c>
      <c r="Y30">
        <v>303.33496107775835</v>
      </c>
      <c r="Z30">
        <v>101.11165369258612</v>
      </c>
      <c r="AA30" s="43">
        <f t="shared" si="4"/>
        <v>0</v>
      </c>
      <c r="AB30" s="18" t="s">
        <v>76</v>
      </c>
    </row>
    <row r="31" spans="1:29" x14ac:dyDescent="0.25">
      <c r="A31">
        <v>1595</v>
      </c>
      <c r="B31">
        <v>12000</v>
      </c>
      <c r="C31" s="59">
        <v>10</v>
      </c>
      <c r="D31" s="59">
        <v>85</v>
      </c>
      <c r="E31" s="59">
        <v>0</v>
      </c>
      <c r="F31" s="59">
        <v>5</v>
      </c>
      <c r="G31" s="59">
        <f t="shared" si="0"/>
        <v>100</v>
      </c>
      <c r="H31">
        <v>1200</v>
      </c>
      <c r="I31">
        <v>10200</v>
      </c>
      <c r="J31">
        <v>0</v>
      </c>
      <c r="K31">
        <v>600</v>
      </c>
      <c r="L31">
        <f t="shared" si="1"/>
        <v>12000</v>
      </c>
      <c r="M31">
        <f t="shared" si="2"/>
        <v>0</v>
      </c>
      <c r="N31">
        <v>10</v>
      </c>
      <c r="O31">
        <v>10</v>
      </c>
      <c r="P31">
        <v>50</v>
      </c>
      <c r="Q31">
        <v>5</v>
      </c>
      <c r="R31">
        <v>5</v>
      </c>
      <c r="S31">
        <v>20</v>
      </c>
      <c r="T31" s="43">
        <f t="shared" si="3"/>
        <v>100</v>
      </c>
      <c r="U31">
        <v>120</v>
      </c>
      <c r="V31">
        <v>120</v>
      </c>
      <c r="W31">
        <v>600</v>
      </c>
      <c r="X31">
        <v>60</v>
      </c>
      <c r="Y31">
        <v>60</v>
      </c>
      <c r="Z31">
        <v>240</v>
      </c>
      <c r="AA31" s="43">
        <f t="shared" si="4"/>
        <v>0</v>
      </c>
      <c r="AB31" s="18" t="s">
        <v>76</v>
      </c>
    </row>
    <row r="32" spans="1:29" x14ac:dyDescent="0.25">
      <c r="A32">
        <v>1625</v>
      </c>
      <c r="B32">
        <v>52000</v>
      </c>
      <c r="C32" s="59">
        <v>15</v>
      </c>
      <c r="D32" s="59">
        <v>72</v>
      </c>
      <c r="E32" s="59">
        <v>5</v>
      </c>
      <c r="F32" s="59">
        <v>8</v>
      </c>
      <c r="G32" s="59">
        <f t="shared" si="0"/>
        <v>100</v>
      </c>
      <c r="H32">
        <v>7800</v>
      </c>
      <c r="I32">
        <v>37440</v>
      </c>
      <c r="J32">
        <v>2600</v>
      </c>
      <c r="K32">
        <v>4160</v>
      </c>
      <c r="L32">
        <f t="shared" si="1"/>
        <v>52000</v>
      </c>
      <c r="M32">
        <f t="shared" si="2"/>
        <v>0</v>
      </c>
      <c r="N32">
        <v>4</v>
      </c>
      <c r="O32">
        <v>3</v>
      </c>
      <c r="P32">
        <v>43</v>
      </c>
      <c r="Q32">
        <v>15</v>
      </c>
      <c r="R32">
        <v>15</v>
      </c>
      <c r="S32">
        <v>20</v>
      </c>
      <c r="T32" s="43">
        <f t="shared" si="3"/>
        <v>100</v>
      </c>
      <c r="U32">
        <v>312</v>
      </c>
      <c r="V32">
        <v>234</v>
      </c>
      <c r="W32">
        <v>3354</v>
      </c>
      <c r="X32">
        <v>1170</v>
      </c>
      <c r="Y32">
        <v>1170</v>
      </c>
      <c r="Z32">
        <v>1560</v>
      </c>
      <c r="AA32" s="43">
        <f t="shared" si="4"/>
        <v>0</v>
      </c>
      <c r="AB32" s="18" t="s">
        <v>76</v>
      </c>
    </row>
    <row r="33" spans="1:29" x14ac:dyDescent="0.25">
      <c r="A33">
        <v>1628</v>
      </c>
      <c r="B33">
        <v>48063</v>
      </c>
      <c r="C33" s="59">
        <v>15</v>
      </c>
      <c r="D33" s="59">
        <v>80</v>
      </c>
      <c r="E33" s="59">
        <v>5</v>
      </c>
      <c r="F33" s="59">
        <v>0</v>
      </c>
      <c r="G33" s="59">
        <f t="shared" si="0"/>
        <v>100</v>
      </c>
      <c r="H33">
        <v>7209.45</v>
      </c>
      <c r="I33">
        <v>38450.400000000001</v>
      </c>
      <c r="J33">
        <v>2403.15</v>
      </c>
      <c r="K33">
        <v>0</v>
      </c>
      <c r="L33">
        <f t="shared" si="1"/>
        <v>48063</v>
      </c>
      <c r="M33">
        <f t="shared" si="2"/>
        <v>0</v>
      </c>
      <c r="N33">
        <v>5</v>
      </c>
      <c r="O33">
        <v>0</v>
      </c>
      <c r="P33">
        <v>75</v>
      </c>
      <c r="Q33">
        <v>0</v>
      </c>
      <c r="R33">
        <v>0</v>
      </c>
      <c r="S33">
        <v>20</v>
      </c>
      <c r="T33" s="43">
        <f t="shared" si="3"/>
        <v>100</v>
      </c>
      <c r="U33">
        <v>360.47250000000003</v>
      </c>
      <c r="V33">
        <v>0</v>
      </c>
      <c r="W33">
        <v>5407.0875000000005</v>
      </c>
      <c r="X33">
        <v>0</v>
      </c>
      <c r="Y33">
        <v>0</v>
      </c>
      <c r="Z33">
        <v>1441.89</v>
      </c>
      <c r="AA33" s="43">
        <f t="shared" si="4"/>
        <v>0</v>
      </c>
      <c r="AB33" s="18" t="s">
        <v>76</v>
      </c>
    </row>
    <row r="34" spans="1:29" x14ac:dyDescent="0.25">
      <c r="A34">
        <v>1635</v>
      </c>
      <c r="B34">
        <v>922000</v>
      </c>
      <c r="C34" s="59">
        <v>4.2741582282822632</v>
      </c>
      <c r="D34" s="59">
        <v>93.021724332624487</v>
      </c>
      <c r="E34" s="59">
        <v>1.7062861786387069</v>
      </c>
      <c r="F34" s="59">
        <v>0.99783126045453818</v>
      </c>
      <c r="G34" s="59">
        <f t="shared" si="0"/>
        <v>99.999999999999986</v>
      </c>
      <c r="H34">
        <v>39407.738864762468</v>
      </c>
      <c r="I34">
        <v>857660.29834679782</v>
      </c>
      <c r="J34">
        <v>15731.958567048878</v>
      </c>
      <c r="K34">
        <v>9200.0042213908418</v>
      </c>
      <c r="L34">
        <f t="shared" si="1"/>
        <v>922000</v>
      </c>
      <c r="M34">
        <f t="shared" si="2"/>
        <v>0</v>
      </c>
      <c r="N34">
        <v>0</v>
      </c>
      <c r="O34">
        <v>0</v>
      </c>
      <c r="P34">
        <v>26</v>
      </c>
      <c r="Q34">
        <v>20</v>
      </c>
      <c r="R34">
        <v>54</v>
      </c>
      <c r="S34">
        <v>0</v>
      </c>
      <c r="T34" s="43">
        <f t="shared" si="3"/>
        <v>100</v>
      </c>
      <c r="U34">
        <v>0</v>
      </c>
      <c r="V34">
        <v>0</v>
      </c>
      <c r="W34">
        <v>10246.012104838241</v>
      </c>
      <c r="X34">
        <v>7881.5477729524946</v>
      </c>
      <c r="Y34">
        <v>21280.178986971732</v>
      </c>
      <c r="Z34">
        <v>0</v>
      </c>
      <c r="AA34" s="43">
        <f t="shared" si="4"/>
        <v>0</v>
      </c>
      <c r="AB34" s="18" t="s">
        <v>76</v>
      </c>
    </row>
    <row r="35" spans="1:29" x14ac:dyDescent="0.25">
      <c r="A35">
        <v>1665</v>
      </c>
      <c r="B35">
        <v>67000</v>
      </c>
      <c r="C35" s="59">
        <v>2</v>
      </c>
      <c r="D35" s="59">
        <v>98</v>
      </c>
      <c r="E35" s="59">
        <v>0</v>
      </c>
      <c r="F35" s="59">
        <v>0</v>
      </c>
      <c r="G35" s="59">
        <f t="shared" si="0"/>
        <v>100</v>
      </c>
      <c r="H35">
        <v>1340</v>
      </c>
      <c r="I35">
        <v>65660</v>
      </c>
      <c r="J35">
        <v>0</v>
      </c>
      <c r="K35">
        <v>0</v>
      </c>
      <c r="L35">
        <f t="shared" si="1"/>
        <v>67000</v>
      </c>
      <c r="M35">
        <f t="shared" si="2"/>
        <v>0</v>
      </c>
      <c r="N35">
        <v>2</v>
      </c>
      <c r="O35">
        <v>1</v>
      </c>
      <c r="P35">
        <v>55</v>
      </c>
      <c r="Q35">
        <v>10</v>
      </c>
      <c r="R35">
        <v>10</v>
      </c>
      <c r="S35">
        <v>22</v>
      </c>
      <c r="T35" s="43">
        <f t="shared" si="3"/>
        <v>100</v>
      </c>
      <c r="U35">
        <v>26.8</v>
      </c>
      <c r="V35">
        <v>13.4</v>
      </c>
      <c r="W35">
        <v>737</v>
      </c>
      <c r="X35">
        <v>134</v>
      </c>
      <c r="Y35">
        <v>134</v>
      </c>
      <c r="Z35">
        <v>294.8</v>
      </c>
      <c r="AA35" s="43">
        <f t="shared" si="4"/>
        <v>0</v>
      </c>
      <c r="AB35" s="18" t="s">
        <v>76</v>
      </c>
    </row>
    <row r="36" spans="1:29" x14ac:dyDescent="0.25">
      <c r="A36">
        <v>1686</v>
      </c>
      <c r="B36" s="39">
        <v>39758</v>
      </c>
      <c r="C36" s="43">
        <v>0.95326726696513919</v>
      </c>
      <c r="D36" s="43">
        <v>99.046732733034858</v>
      </c>
      <c r="E36" s="43">
        <v>0</v>
      </c>
      <c r="F36" s="43">
        <v>0</v>
      </c>
      <c r="G36" s="91">
        <f t="shared" si="0"/>
        <v>100</v>
      </c>
      <c r="H36">
        <v>379.00000000000006</v>
      </c>
      <c r="I36">
        <v>39379</v>
      </c>
      <c r="J36">
        <v>0</v>
      </c>
      <c r="K36">
        <v>0</v>
      </c>
      <c r="L36">
        <f t="shared" si="1"/>
        <v>39758</v>
      </c>
      <c r="M36" s="94">
        <f t="shared" si="2"/>
        <v>0</v>
      </c>
      <c r="N36">
        <v>0</v>
      </c>
      <c r="O36">
        <v>100</v>
      </c>
      <c r="P36">
        <v>0</v>
      </c>
      <c r="Q36">
        <v>0</v>
      </c>
      <c r="R36">
        <v>0</v>
      </c>
      <c r="S36">
        <v>0</v>
      </c>
      <c r="T36" s="43">
        <f t="shared" si="3"/>
        <v>100</v>
      </c>
      <c r="U36">
        <v>0</v>
      </c>
      <c r="V36">
        <v>379.00000000000006</v>
      </c>
      <c r="W36">
        <v>0</v>
      </c>
      <c r="X36">
        <v>0</v>
      </c>
      <c r="Y36">
        <v>0</v>
      </c>
      <c r="Z36">
        <v>0</v>
      </c>
      <c r="AA36" s="43">
        <f t="shared" si="4"/>
        <v>0</v>
      </c>
      <c r="AB36" s="18" t="s">
        <v>76</v>
      </c>
    </row>
    <row r="37" spans="1:29" x14ac:dyDescent="0.25">
      <c r="A37">
        <v>1730</v>
      </c>
      <c r="B37">
        <v>58000</v>
      </c>
      <c r="C37" s="59">
        <v>5.1724137931034484</v>
      </c>
      <c r="D37" s="59">
        <v>82.758620689655174</v>
      </c>
      <c r="E37" s="59">
        <v>10.344827586206897</v>
      </c>
      <c r="F37" s="59">
        <v>1.7241379310344827</v>
      </c>
      <c r="G37" s="59">
        <f t="shared" si="0"/>
        <v>100</v>
      </c>
      <c r="H37">
        <v>3000</v>
      </c>
      <c r="I37">
        <v>48000</v>
      </c>
      <c r="J37">
        <v>6000</v>
      </c>
      <c r="K37">
        <v>1000</v>
      </c>
      <c r="L37">
        <f t="shared" si="1"/>
        <v>58000</v>
      </c>
      <c r="M37">
        <f t="shared" si="2"/>
        <v>0</v>
      </c>
      <c r="N37">
        <v>8.695652173913043</v>
      </c>
      <c r="O37">
        <v>4.3478260869565215</v>
      </c>
      <c r="P37">
        <v>43.478260869565219</v>
      </c>
      <c r="Q37">
        <v>4.3478260869565215</v>
      </c>
      <c r="R37">
        <v>30.434782608695656</v>
      </c>
      <c r="S37">
        <v>8.695652173913043</v>
      </c>
      <c r="T37" s="43">
        <f t="shared" si="3"/>
        <v>100.00000000000001</v>
      </c>
      <c r="U37">
        <v>260.86956521739131</v>
      </c>
      <c r="V37">
        <v>130.43478260869566</v>
      </c>
      <c r="W37">
        <v>1304.3478260869567</v>
      </c>
      <c r="X37">
        <v>130.43478260869566</v>
      </c>
      <c r="Y37">
        <v>913.04347826086973</v>
      </c>
      <c r="Z37">
        <v>260.86956521739131</v>
      </c>
      <c r="AA37" s="43">
        <f t="shared" si="4"/>
        <v>0</v>
      </c>
      <c r="AB37" s="18" t="s">
        <v>76</v>
      </c>
      <c r="AC37" t="s">
        <v>64</v>
      </c>
    </row>
    <row r="38" spans="1:29" x14ac:dyDescent="0.25">
      <c r="A38">
        <v>1739</v>
      </c>
      <c r="B38">
        <v>440000</v>
      </c>
      <c r="C38" s="59">
        <v>10.1</v>
      </c>
      <c r="D38" s="59">
        <v>89.9</v>
      </c>
      <c r="E38" s="59">
        <v>0</v>
      </c>
      <c r="F38" s="59">
        <v>0</v>
      </c>
      <c r="G38" s="59">
        <f t="shared" si="0"/>
        <v>100</v>
      </c>
      <c r="H38">
        <v>44440</v>
      </c>
      <c r="I38">
        <v>395560</v>
      </c>
      <c r="J38">
        <v>0</v>
      </c>
      <c r="K38">
        <v>0</v>
      </c>
      <c r="L38">
        <f t="shared" si="1"/>
        <v>440000</v>
      </c>
      <c r="M38">
        <f t="shared" si="2"/>
        <v>0</v>
      </c>
      <c r="N38">
        <v>0</v>
      </c>
      <c r="O38">
        <v>0</v>
      </c>
      <c r="P38">
        <v>39.147286821705421</v>
      </c>
      <c r="Q38">
        <v>0</v>
      </c>
      <c r="R38">
        <v>55.038759689922479</v>
      </c>
      <c r="S38">
        <v>5.8139534883720927</v>
      </c>
      <c r="T38" s="43">
        <f t="shared" si="3"/>
        <v>99.999999999999986</v>
      </c>
      <c r="U38">
        <v>0</v>
      </c>
      <c r="V38">
        <v>0</v>
      </c>
      <c r="W38">
        <v>17397.054263565889</v>
      </c>
      <c r="X38">
        <v>0</v>
      </c>
      <c r="Y38">
        <v>24459.224806201553</v>
      </c>
      <c r="Z38">
        <v>2583.7209302325577</v>
      </c>
      <c r="AA38" s="43">
        <f t="shared" si="4"/>
        <v>0</v>
      </c>
      <c r="AB38" s="18" t="s">
        <v>76</v>
      </c>
      <c r="AC38" t="s">
        <v>64</v>
      </c>
    </row>
    <row r="39" spans="1:29" x14ac:dyDescent="0.25">
      <c r="A39">
        <v>1753</v>
      </c>
      <c r="B39">
        <v>133000</v>
      </c>
      <c r="C39" s="59">
        <v>3</v>
      </c>
      <c r="D39" s="59">
        <v>97</v>
      </c>
      <c r="E39" s="59">
        <v>0</v>
      </c>
      <c r="F39" s="59">
        <v>0</v>
      </c>
      <c r="G39" s="59">
        <f t="shared" si="0"/>
        <v>100</v>
      </c>
      <c r="H39">
        <v>3990</v>
      </c>
      <c r="I39">
        <v>129010</v>
      </c>
      <c r="J39">
        <v>0</v>
      </c>
      <c r="K39">
        <v>0</v>
      </c>
      <c r="L39">
        <f t="shared" si="1"/>
        <v>133000</v>
      </c>
      <c r="M39">
        <f t="shared" si="2"/>
        <v>0</v>
      </c>
      <c r="N39">
        <v>5</v>
      </c>
      <c r="O39">
        <v>4</v>
      </c>
      <c r="P39">
        <v>50</v>
      </c>
      <c r="Q39">
        <v>1</v>
      </c>
      <c r="R39">
        <v>30</v>
      </c>
      <c r="S39">
        <v>10</v>
      </c>
      <c r="T39" s="43">
        <f t="shared" si="3"/>
        <v>100</v>
      </c>
      <c r="U39">
        <v>199.5</v>
      </c>
      <c r="V39">
        <v>159.6</v>
      </c>
      <c r="W39">
        <v>1995</v>
      </c>
      <c r="X39">
        <v>39.9</v>
      </c>
      <c r="Y39">
        <v>1197</v>
      </c>
      <c r="Z39">
        <v>399</v>
      </c>
      <c r="AA39" s="43">
        <f t="shared" si="4"/>
        <v>0</v>
      </c>
      <c r="AB39" s="18" t="s">
        <v>76</v>
      </c>
    </row>
    <row r="40" spans="1:29" x14ac:dyDescent="0.25">
      <c r="A40">
        <v>1767</v>
      </c>
      <c r="B40">
        <v>65785</v>
      </c>
      <c r="C40" s="59">
        <v>10.336702895796915</v>
      </c>
      <c r="D40" s="59">
        <v>89.663297104203082</v>
      </c>
      <c r="E40" s="59">
        <v>0</v>
      </c>
      <c r="F40" s="59">
        <v>0</v>
      </c>
      <c r="G40" s="59">
        <f t="shared" si="0"/>
        <v>100</v>
      </c>
      <c r="H40">
        <v>6800</v>
      </c>
      <c r="I40">
        <v>58985</v>
      </c>
      <c r="J40">
        <v>0</v>
      </c>
      <c r="K40">
        <v>0</v>
      </c>
      <c r="L40">
        <f t="shared" si="1"/>
        <v>65785</v>
      </c>
      <c r="M40">
        <f t="shared" si="2"/>
        <v>0</v>
      </c>
      <c r="N40">
        <v>0</v>
      </c>
      <c r="O40">
        <v>0</v>
      </c>
      <c r="P40">
        <v>9.8790085751204035</v>
      </c>
      <c r="Q40">
        <v>0</v>
      </c>
      <c r="R40">
        <v>69.575942675907427</v>
      </c>
      <c r="S40">
        <v>20.54504874897216</v>
      </c>
      <c r="T40" s="43">
        <f t="shared" si="3"/>
        <v>100</v>
      </c>
      <c r="U40">
        <v>0</v>
      </c>
      <c r="V40">
        <v>0</v>
      </c>
      <c r="W40">
        <v>671.7725831081874</v>
      </c>
      <c r="X40">
        <v>0</v>
      </c>
      <c r="Y40">
        <v>4731.1641019617055</v>
      </c>
      <c r="Z40">
        <v>1397.0633149301068</v>
      </c>
      <c r="AA40" s="43">
        <f t="shared" si="4"/>
        <v>0</v>
      </c>
      <c r="AB40" s="18" t="s">
        <v>76</v>
      </c>
      <c r="AC40" t="s">
        <v>64</v>
      </c>
    </row>
    <row r="41" spans="1:29" x14ac:dyDescent="0.25">
      <c r="A41">
        <v>1778</v>
      </c>
      <c r="B41">
        <v>808779</v>
      </c>
      <c r="C41" s="59">
        <v>0.37834810251008</v>
      </c>
      <c r="D41" s="59">
        <v>96.174480296842518</v>
      </c>
      <c r="E41" s="59">
        <v>2.5360450753543304</v>
      </c>
      <c r="F41" s="59">
        <v>0.91112652529306526</v>
      </c>
      <c r="G41" s="59">
        <f t="shared" si="0"/>
        <v>100</v>
      </c>
      <c r="H41">
        <v>3060</v>
      </c>
      <c r="I41">
        <v>777839</v>
      </c>
      <c r="J41">
        <v>20511</v>
      </c>
      <c r="K41">
        <v>7369</v>
      </c>
      <c r="L41">
        <f t="shared" si="1"/>
        <v>808779</v>
      </c>
      <c r="M41">
        <f t="shared" si="2"/>
        <v>0</v>
      </c>
      <c r="N41">
        <v>0.37907078336597949</v>
      </c>
      <c r="O41">
        <v>0</v>
      </c>
      <c r="P41">
        <v>0</v>
      </c>
      <c r="Q41">
        <v>13.766610768992294</v>
      </c>
      <c r="R41">
        <v>85.854318447641731</v>
      </c>
      <c r="S41">
        <v>0</v>
      </c>
      <c r="T41" s="43">
        <f t="shared" si="3"/>
        <v>100</v>
      </c>
      <c r="U41">
        <v>11.599565970998972</v>
      </c>
      <c r="V41">
        <v>0</v>
      </c>
      <c r="W41">
        <v>0</v>
      </c>
      <c r="X41">
        <v>421.25828953116422</v>
      </c>
      <c r="Y41">
        <v>2627.1421444978369</v>
      </c>
      <c r="Z41">
        <v>0</v>
      </c>
      <c r="AA41" s="43">
        <f t="shared" si="4"/>
        <v>0</v>
      </c>
      <c r="AB41" s="18" t="s">
        <v>76</v>
      </c>
      <c r="AC41" t="s">
        <v>64</v>
      </c>
    </row>
    <row r="42" spans="1:29" x14ac:dyDescent="0.25">
      <c r="A42">
        <v>1782</v>
      </c>
      <c r="B42">
        <v>14655</v>
      </c>
      <c r="C42" s="59">
        <v>1</v>
      </c>
      <c r="D42" s="59">
        <v>94</v>
      </c>
      <c r="E42" s="59">
        <v>5</v>
      </c>
      <c r="F42" s="59">
        <v>0</v>
      </c>
      <c r="G42" s="59">
        <f t="shared" si="0"/>
        <v>100</v>
      </c>
      <c r="H42">
        <v>146.55000000000001</v>
      </c>
      <c r="I42">
        <v>13775.7</v>
      </c>
      <c r="J42">
        <v>732.75</v>
      </c>
      <c r="K42">
        <v>0</v>
      </c>
      <c r="L42">
        <f t="shared" si="1"/>
        <v>14655</v>
      </c>
      <c r="M42">
        <f t="shared" si="2"/>
        <v>0</v>
      </c>
      <c r="N42">
        <v>10</v>
      </c>
      <c r="O42">
        <v>1</v>
      </c>
      <c r="P42">
        <v>1</v>
      </c>
      <c r="Q42">
        <v>0</v>
      </c>
      <c r="R42">
        <v>88</v>
      </c>
      <c r="S42">
        <v>0</v>
      </c>
      <c r="T42" s="43">
        <f t="shared" si="3"/>
        <v>100</v>
      </c>
      <c r="U42">
        <v>14.655000000000001</v>
      </c>
      <c r="V42">
        <v>1.4655000000000002</v>
      </c>
      <c r="W42">
        <v>1.4655000000000002</v>
      </c>
      <c r="X42">
        <v>0</v>
      </c>
      <c r="Y42">
        <v>128.96400000000003</v>
      </c>
      <c r="Z42">
        <v>0</v>
      </c>
      <c r="AA42" s="43">
        <f t="shared" si="4"/>
        <v>0</v>
      </c>
      <c r="AB42" s="18" t="s">
        <v>76</v>
      </c>
    </row>
    <row r="43" spans="1:29" x14ac:dyDescent="0.25">
      <c r="A43">
        <v>1784</v>
      </c>
      <c r="B43">
        <v>3897</v>
      </c>
      <c r="C43" s="59">
        <v>6.2235052604567613</v>
      </c>
      <c r="D43" s="59">
        <v>80.43135745445214</v>
      </c>
      <c r="E43" s="59">
        <v>0</v>
      </c>
      <c r="F43" s="59">
        <v>13.345137285091093</v>
      </c>
      <c r="G43" s="59">
        <f t="shared" si="0"/>
        <v>100</v>
      </c>
      <c r="H43">
        <v>242.53</v>
      </c>
      <c r="I43">
        <v>3134.41</v>
      </c>
      <c r="J43">
        <v>0</v>
      </c>
      <c r="K43">
        <v>520.05999999999995</v>
      </c>
      <c r="L43">
        <f t="shared" si="1"/>
        <v>3897</v>
      </c>
      <c r="M43" s="94">
        <f t="shared" si="2"/>
        <v>0</v>
      </c>
      <c r="N43">
        <v>0</v>
      </c>
      <c r="O43">
        <v>0</v>
      </c>
      <c r="P43">
        <v>26.284145409049835</v>
      </c>
      <c r="Q43">
        <v>0</v>
      </c>
      <c r="R43">
        <v>57.704872454299014</v>
      </c>
      <c r="S43">
        <v>16.01098213665114</v>
      </c>
      <c r="T43" s="43">
        <f t="shared" si="3"/>
        <v>99.999999999999986</v>
      </c>
      <c r="U43">
        <v>0</v>
      </c>
      <c r="V43">
        <v>0</v>
      </c>
      <c r="W43">
        <v>63.746937860568558</v>
      </c>
      <c r="X43">
        <v>0</v>
      </c>
      <c r="Y43">
        <v>139.95162716341139</v>
      </c>
      <c r="Z43">
        <v>38.831434976020013</v>
      </c>
      <c r="AA43" s="43">
        <f t="shared" si="4"/>
        <v>0</v>
      </c>
      <c r="AB43" s="18" t="s">
        <v>76</v>
      </c>
      <c r="AC43" t="s">
        <v>64</v>
      </c>
    </row>
    <row r="44" spans="1:29" x14ac:dyDescent="0.25">
      <c r="A44">
        <v>1798</v>
      </c>
      <c r="B44">
        <v>1043</v>
      </c>
      <c r="C44" s="59">
        <v>10</v>
      </c>
      <c r="D44" s="59">
        <v>90</v>
      </c>
      <c r="E44" s="59">
        <v>0</v>
      </c>
      <c r="F44" s="59">
        <v>0</v>
      </c>
      <c r="G44" s="59">
        <f t="shared" si="0"/>
        <v>100</v>
      </c>
      <c r="H44">
        <v>104.3</v>
      </c>
      <c r="I44">
        <v>938.7</v>
      </c>
      <c r="J44">
        <v>0</v>
      </c>
      <c r="K44">
        <v>0</v>
      </c>
      <c r="L44">
        <f t="shared" si="1"/>
        <v>1043</v>
      </c>
      <c r="M44">
        <f t="shared" si="2"/>
        <v>0</v>
      </c>
      <c r="N44">
        <v>3</v>
      </c>
      <c r="O44">
        <v>2</v>
      </c>
      <c r="P44">
        <v>20</v>
      </c>
      <c r="Q44">
        <v>0</v>
      </c>
      <c r="R44">
        <v>75</v>
      </c>
      <c r="S44">
        <v>0</v>
      </c>
      <c r="T44" s="43">
        <f t="shared" si="3"/>
        <v>100</v>
      </c>
      <c r="U44">
        <v>3.129</v>
      </c>
      <c r="V44">
        <v>2.0859999999999999</v>
      </c>
      <c r="W44">
        <v>20.86</v>
      </c>
      <c r="X44">
        <v>0</v>
      </c>
      <c r="Y44">
        <v>78.225000000000009</v>
      </c>
      <c r="Z44">
        <v>0</v>
      </c>
      <c r="AA44" s="43">
        <f t="shared" si="4"/>
        <v>0</v>
      </c>
      <c r="AB44" s="18" t="s">
        <v>76</v>
      </c>
    </row>
    <row r="45" spans="1:29" x14ac:dyDescent="0.25">
      <c r="A45">
        <v>1801</v>
      </c>
      <c r="B45">
        <v>533077</v>
      </c>
      <c r="C45" s="59">
        <v>0.90343421306865612</v>
      </c>
      <c r="D45" s="59">
        <v>95.730823126865346</v>
      </c>
      <c r="E45" s="59">
        <v>1.7252667063107205</v>
      </c>
      <c r="F45" s="59">
        <v>1.6406635439157946</v>
      </c>
      <c r="G45" s="59">
        <f t="shared" si="0"/>
        <v>100.00018759016051</v>
      </c>
      <c r="H45">
        <v>4816</v>
      </c>
      <c r="I45">
        <v>510319</v>
      </c>
      <c r="J45">
        <v>9197</v>
      </c>
      <c r="K45">
        <v>8746</v>
      </c>
      <c r="L45">
        <f t="shared" si="1"/>
        <v>533078</v>
      </c>
      <c r="M45">
        <f t="shared" si="2"/>
        <v>1</v>
      </c>
      <c r="N45">
        <v>0.27478100877571804</v>
      </c>
      <c r="O45">
        <v>0</v>
      </c>
      <c r="P45">
        <v>0.11168000064276258</v>
      </c>
      <c r="Q45">
        <v>3.2650331123167375</v>
      </c>
      <c r="R45">
        <v>96.348505878264774</v>
      </c>
      <c r="S45">
        <v>0</v>
      </c>
      <c r="T45" s="43">
        <f t="shared" si="3"/>
        <v>99.999999999999986</v>
      </c>
      <c r="U45">
        <v>13.233453382638581</v>
      </c>
      <c r="V45">
        <v>0</v>
      </c>
      <c r="W45">
        <v>5.3785088309554467</v>
      </c>
      <c r="X45">
        <v>157.24399468917409</v>
      </c>
      <c r="Y45">
        <v>4640.1440430972316</v>
      </c>
      <c r="Z45">
        <v>0</v>
      </c>
      <c r="AA45" s="43">
        <f t="shared" si="4"/>
        <v>0</v>
      </c>
      <c r="AB45" s="18" t="s">
        <v>76</v>
      </c>
      <c r="AC45" t="s">
        <v>64</v>
      </c>
    </row>
    <row r="46" spans="1:29" x14ac:dyDescent="0.25">
      <c r="A46">
        <v>1803</v>
      </c>
      <c r="B46">
        <v>4349</v>
      </c>
      <c r="C46" s="59">
        <v>20</v>
      </c>
      <c r="D46" s="59">
        <v>80</v>
      </c>
      <c r="E46" s="59">
        <v>0</v>
      </c>
      <c r="F46" s="59">
        <v>0</v>
      </c>
      <c r="G46" s="59">
        <f t="shared" si="0"/>
        <v>100</v>
      </c>
      <c r="H46">
        <v>869.80000000000007</v>
      </c>
      <c r="I46">
        <v>3479.2000000000003</v>
      </c>
      <c r="J46">
        <v>0</v>
      </c>
      <c r="K46">
        <v>0</v>
      </c>
      <c r="L46">
        <f t="shared" si="1"/>
        <v>4349</v>
      </c>
      <c r="M46">
        <f t="shared" si="2"/>
        <v>0</v>
      </c>
      <c r="N46">
        <v>5</v>
      </c>
      <c r="O46">
        <v>3</v>
      </c>
      <c r="P46">
        <v>42</v>
      </c>
      <c r="Q46">
        <v>0</v>
      </c>
      <c r="R46">
        <v>50</v>
      </c>
      <c r="S46">
        <v>0</v>
      </c>
      <c r="T46" s="43">
        <f t="shared" si="3"/>
        <v>100</v>
      </c>
      <c r="U46">
        <v>43.49</v>
      </c>
      <c r="V46">
        <v>26.094000000000001</v>
      </c>
      <c r="W46">
        <v>365.31600000000009</v>
      </c>
      <c r="X46">
        <v>0</v>
      </c>
      <c r="Y46">
        <v>434.90000000000003</v>
      </c>
      <c r="Z46">
        <v>0</v>
      </c>
      <c r="AA46" s="43">
        <f t="shared" si="4"/>
        <v>0</v>
      </c>
      <c r="AB46" s="18" t="s">
        <v>76</v>
      </c>
    </row>
    <row r="47" spans="1:29" x14ac:dyDescent="0.25">
      <c r="A47">
        <v>1805</v>
      </c>
      <c r="B47">
        <v>17762</v>
      </c>
      <c r="C47" s="59">
        <v>10.308117819840909</v>
      </c>
      <c r="D47" s="59">
        <v>52.364373737298429</v>
      </c>
      <c r="E47" s="59">
        <v>9.5499377502106046</v>
      </c>
      <c r="F47" s="59">
        <v>27.777570692650048</v>
      </c>
      <c r="G47" s="59">
        <f t="shared" si="0"/>
        <v>99.999999999999986</v>
      </c>
      <c r="H47">
        <v>1830.9278871601425</v>
      </c>
      <c r="I47">
        <v>9300.9600632189467</v>
      </c>
      <c r="J47">
        <v>1696.2599431924077</v>
      </c>
      <c r="K47">
        <v>4933.8521064285014</v>
      </c>
      <c r="L47">
        <f t="shared" si="1"/>
        <v>17762</v>
      </c>
      <c r="M47">
        <f t="shared" si="2"/>
        <v>0</v>
      </c>
      <c r="N47">
        <v>7.1428571428571423</v>
      </c>
      <c r="O47">
        <v>7.1428571428571423</v>
      </c>
      <c r="P47">
        <v>14.285714285714285</v>
      </c>
      <c r="Q47">
        <v>0</v>
      </c>
      <c r="R47">
        <v>0</v>
      </c>
      <c r="S47">
        <v>71.428571428571416</v>
      </c>
      <c r="T47" s="43">
        <f t="shared" si="3"/>
        <v>99.999999999999986</v>
      </c>
      <c r="U47">
        <v>130.7805633685816</v>
      </c>
      <c r="V47">
        <v>130.7805633685816</v>
      </c>
      <c r="W47">
        <v>261.56112673716319</v>
      </c>
      <c r="X47">
        <v>0</v>
      </c>
      <c r="Y47">
        <v>0</v>
      </c>
      <c r="Z47">
        <v>1307.8056336858158</v>
      </c>
      <c r="AA47" s="43">
        <f t="shared" si="4"/>
        <v>0</v>
      </c>
      <c r="AB47" s="18" t="s">
        <v>76</v>
      </c>
      <c r="AC47" t="s">
        <v>64</v>
      </c>
    </row>
    <row r="48" spans="1:29" x14ac:dyDescent="0.25">
      <c r="A48">
        <v>1813</v>
      </c>
      <c r="B48">
        <v>455440</v>
      </c>
      <c r="C48" s="59">
        <v>0.38952801714710644</v>
      </c>
      <c r="D48" s="59">
        <v>99.582257993963523</v>
      </c>
      <c r="E48" s="59">
        <v>0</v>
      </c>
      <c r="F48" s="59">
        <v>2.8213988889374916E-2</v>
      </c>
      <c r="G48" s="59">
        <f t="shared" si="0"/>
        <v>100</v>
      </c>
      <c r="H48">
        <v>1774.0664012947816</v>
      </c>
      <c r="I48">
        <v>453537.43580770749</v>
      </c>
      <c r="J48">
        <v>0</v>
      </c>
      <c r="K48">
        <v>128.49779099776913</v>
      </c>
      <c r="L48">
        <f t="shared" si="1"/>
        <v>455440.00000000006</v>
      </c>
      <c r="M48">
        <f t="shared" si="2"/>
        <v>0</v>
      </c>
      <c r="N48">
        <v>0</v>
      </c>
      <c r="O48">
        <v>0</v>
      </c>
      <c r="P48">
        <v>0</v>
      </c>
      <c r="Q48">
        <v>68.781583380123521</v>
      </c>
      <c r="R48">
        <v>31.218416619876471</v>
      </c>
      <c r="S48">
        <v>0</v>
      </c>
      <c r="T48" s="43">
        <f t="shared" si="3"/>
        <v>100</v>
      </c>
      <c r="U48">
        <v>0</v>
      </c>
      <c r="V48">
        <v>0</v>
      </c>
      <c r="W48">
        <v>0</v>
      </c>
      <c r="X48">
        <v>1220.2309610253269</v>
      </c>
      <c r="Y48">
        <v>553.83544026945447</v>
      </c>
      <c r="Z48">
        <v>0</v>
      </c>
      <c r="AA48" s="43">
        <f t="shared" si="4"/>
        <v>0</v>
      </c>
      <c r="AB48" s="18" t="s">
        <v>76</v>
      </c>
    </row>
    <row r="49" spans="1:29" x14ac:dyDescent="0.25">
      <c r="A49">
        <v>1816</v>
      </c>
      <c r="B49">
        <v>35000</v>
      </c>
      <c r="C49" s="59">
        <v>5</v>
      </c>
      <c r="D49" s="59">
        <v>30</v>
      </c>
      <c r="E49" s="59">
        <v>20</v>
      </c>
      <c r="F49" s="59">
        <v>45</v>
      </c>
      <c r="G49" s="59">
        <f t="shared" si="0"/>
        <v>100</v>
      </c>
      <c r="H49">
        <v>1750</v>
      </c>
      <c r="I49">
        <v>10500</v>
      </c>
      <c r="J49">
        <v>7000</v>
      </c>
      <c r="K49">
        <v>15750</v>
      </c>
      <c r="L49">
        <f t="shared" si="1"/>
        <v>35000</v>
      </c>
      <c r="M49">
        <f t="shared" si="2"/>
        <v>0</v>
      </c>
      <c r="N49">
        <v>5</v>
      </c>
      <c r="O49">
        <v>10</v>
      </c>
      <c r="P49">
        <v>25</v>
      </c>
      <c r="Q49">
        <v>5</v>
      </c>
      <c r="R49">
        <v>50</v>
      </c>
      <c r="S49">
        <v>5</v>
      </c>
      <c r="T49" s="43">
        <f t="shared" si="3"/>
        <v>100</v>
      </c>
      <c r="U49">
        <v>87.5</v>
      </c>
      <c r="V49">
        <v>175</v>
      </c>
      <c r="W49">
        <v>437.5</v>
      </c>
      <c r="X49">
        <v>87.5</v>
      </c>
      <c r="Y49">
        <v>875</v>
      </c>
      <c r="Z49">
        <v>87.5</v>
      </c>
      <c r="AA49" s="43">
        <f t="shared" si="4"/>
        <v>0</v>
      </c>
      <c r="AB49" s="18" t="s">
        <v>76</v>
      </c>
    </row>
    <row r="50" spans="1:29" x14ac:dyDescent="0.25">
      <c r="A50">
        <v>1861</v>
      </c>
      <c r="B50">
        <v>2385</v>
      </c>
      <c r="C50" s="59">
        <v>15</v>
      </c>
      <c r="D50" s="59">
        <v>85</v>
      </c>
      <c r="E50" s="59">
        <v>0</v>
      </c>
      <c r="F50" s="59">
        <v>0</v>
      </c>
      <c r="G50" s="59">
        <f t="shared" si="0"/>
        <v>100</v>
      </c>
      <c r="H50">
        <v>357.75</v>
      </c>
      <c r="I50">
        <v>2027.25</v>
      </c>
      <c r="J50">
        <v>0</v>
      </c>
      <c r="K50">
        <v>0</v>
      </c>
      <c r="L50">
        <f t="shared" si="1"/>
        <v>2385</v>
      </c>
      <c r="M50">
        <f t="shared" si="2"/>
        <v>0</v>
      </c>
      <c r="N50">
        <v>10</v>
      </c>
      <c r="O50">
        <v>2</v>
      </c>
      <c r="P50">
        <v>3</v>
      </c>
      <c r="Q50">
        <v>8</v>
      </c>
      <c r="R50">
        <v>70</v>
      </c>
      <c r="S50">
        <v>7</v>
      </c>
      <c r="T50" s="43">
        <f t="shared" si="3"/>
        <v>100</v>
      </c>
      <c r="U50">
        <v>35.774999999999999</v>
      </c>
      <c r="V50">
        <v>7.1550000000000002</v>
      </c>
      <c r="W50">
        <v>10.7325</v>
      </c>
      <c r="X50">
        <v>28.62</v>
      </c>
      <c r="Y50">
        <v>250.42500000000001</v>
      </c>
      <c r="Z50">
        <v>25.0425</v>
      </c>
      <c r="AA50" s="43">
        <f t="shared" si="4"/>
        <v>0</v>
      </c>
      <c r="AB50" s="18" t="s">
        <v>76</v>
      </c>
    </row>
    <row r="51" spans="1:29" x14ac:dyDescent="0.25">
      <c r="A51">
        <v>1900</v>
      </c>
      <c r="B51">
        <v>35000</v>
      </c>
      <c r="C51" s="59">
        <v>1</v>
      </c>
      <c r="D51" s="59">
        <v>76</v>
      </c>
      <c r="E51" s="59">
        <v>23</v>
      </c>
      <c r="F51" s="59">
        <v>0</v>
      </c>
      <c r="G51" s="59">
        <f t="shared" si="0"/>
        <v>100</v>
      </c>
      <c r="H51">
        <v>350</v>
      </c>
      <c r="I51">
        <v>26600</v>
      </c>
      <c r="J51">
        <v>8050</v>
      </c>
      <c r="K51">
        <v>0</v>
      </c>
      <c r="L51">
        <f t="shared" si="1"/>
        <v>35000</v>
      </c>
      <c r="M51">
        <f t="shared" si="2"/>
        <v>0</v>
      </c>
      <c r="N51">
        <v>4</v>
      </c>
      <c r="O51">
        <v>4</v>
      </c>
      <c r="P51">
        <v>62</v>
      </c>
      <c r="Q51">
        <v>10</v>
      </c>
      <c r="R51">
        <v>10</v>
      </c>
      <c r="S51">
        <v>10</v>
      </c>
      <c r="T51" s="43">
        <f t="shared" si="3"/>
        <v>100</v>
      </c>
      <c r="U51">
        <v>14</v>
      </c>
      <c r="V51">
        <v>14</v>
      </c>
      <c r="W51">
        <v>217</v>
      </c>
      <c r="X51">
        <v>35</v>
      </c>
      <c r="Y51">
        <v>35</v>
      </c>
      <c r="Z51">
        <v>35</v>
      </c>
      <c r="AA51" s="43">
        <f t="shared" si="4"/>
        <v>0</v>
      </c>
      <c r="AB51" s="18" t="s">
        <v>76</v>
      </c>
    </row>
    <row r="52" spans="1:29" x14ac:dyDescent="0.25">
      <c r="A52">
        <v>1919</v>
      </c>
      <c r="B52">
        <v>360000</v>
      </c>
      <c r="C52" s="59">
        <v>10</v>
      </c>
      <c r="D52" s="59">
        <v>90</v>
      </c>
      <c r="E52" s="59">
        <v>0</v>
      </c>
      <c r="F52" s="59">
        <v>0</v>
      </c>
      <c r="G52" s="59">
        <f t="shared" si="0"/>
        <v>100</v>
      </c>
      <c r="H52">
        <v>36000</v>
      </c>
      <c r="I52">
        <v>324000</v>
      </c>
      <c r="J52">
        <v>0</v>
      </c>
      <c r="K52">
        <v>0</v>
      </c>
      <c r="L52">
        <f t="shared" si="1"/>
        <v>360000</v>
      </c>
      <c r="M52">
        <f t="shared" si="2"/>
        <v>0</v>
      </c>
      <c r="N52">
        <v>1</v>
      </c>
      <c r="O52">
        <v>1</v>
      </c>
      <c r="P52">
        <v>95</v>
      </c>
      <c r="Q52">
        <v>0</v>
      </c>
      <c r="R52">
        <v>1</v>
      </c>
      <c r="S52">
        <v>2</v>
      </c>
      <c r="T52" s="43">
        <f t="shared" si="3"/>
        <v>100</v>
      </c>
      <c r="U52">
        <v>360</v>
      </c>
      <c r="V52">
        <v>360</v>
      </c>
      <c r="W52">
        <v>34200</v>
      </c>
      <c r="X52">
        <v>0</v>
      </c>
      <c r="Y52">
        <v>360</v>
      </c>
      <c r="Z52">
        <v>720</v>
      </c>
      <c r="AA52" s="43">
        <f t="shared" si="4"/>
        <v>0</v>
      </c>
      <c r="AB52" s="18" t="s">
        <v>76</v>
      </c>
    </row>
    <row r="53" spans="1:29" x14ac:dyDescent="0.25">
      <c r="A53">
        <v>1967</v>
      </c>
      <c r="B53">
        <v>95598.26</v>
      </c>
      <c r="C53" s="59">
        <v>27.317420241018624</v>
      </c>
      <c r="D53" s="59">
        <v>65.845180245169004</v>
      </c>
      <c r="E53" s="59">
        <v>6.8373995138123744</v>
      </c>
      <c r="F53" s="59">
        <v>0</v>
      </c>
      <c r="G53" s="59">
        <f t="shared" si="0"/>
        <v>100</v>
      </c>
      <c r="H53">
        <v>26114.978427301608</v>
      </c>
      <c r="I53">
        <v>62946.846608245301</v>
      </c>
      <c r="J53">
        <v>6536.4349644530894</v>
      </c>
      <c r="K53">
        <v>0</v>
      </c>
      <c r="L53">
        <f t="shared" si="1"/>
        <v>95598.26</v>
      </c>
      <c r="M53">
        <f t="shared" si="2"/>
        <v>0</v>
      </c>
      <c r="N53">
        <v>0</v>
      </c>
      <c r="O53">
        <v>29.322115839594172</v>
      </c>
      <c r="P53">
        <v>0</v>
      </c>
      <c r="Q53">
        <v>0</v>
      </c>
      <c r="R53">
        <v>0</v>
      </c>
      <c r="S53">
        <v>70.677884160405824</v>
      </c>
      <c r="T53" s="43">
        <f t="shared" si="3"/>
        <v>100</v>
      </c>
      <c r="U53">
        <v>0</v>
      </c>
      <c r="V53">
        <v>7657.4642259384063</v>
      </c>
      <c r="W53">
        <v>0</v>
      </c>
      <c r="X53">
        <v>0</v>
      </c>
      <c r="Y53">
        <v>0</v>
      </c>
      <c r="Z53">
        <v>18457.514201363203</v>
      </c>
      <c r="AA53" s="43">
        <f t="shared" si="4"/>
        <v>0</v>
      </c>
      <c r="AB53" s="18" t="s">
        <v>76</v>
      </c>
      <c r="AC53" t="s">
        <v>64</v>
      </c>
    </row>
    <row r="54" spans="1:29" x14ac:dyDescent="0.25">
      <c r="A54">
        <v>2002</v>
      </c>
      <c r="B54">
        <v>21000</v>
      </c>
      <c r="C54" s="59">
        <v>1.1338630098908988</v>
      </c>
      <c r="D54" s="59">
        <v>97.629195524773564</v>
      </c>
      <c r="E54" s="59">
        <v>1.1338630098908988</v>
      </c>
      <c r="F54" s="59">
        <v>0.10307845544462718</v>
      </c>
      <c r="G54" s="59">
        <f t="shared" si="0"/>
        <v>100</v>
      </c>
      <c r="H54">
        <v>238.11123207708874</v>
      </c>
      <c r="I54">
        <v>20502.13106020245</v>
      </c>
      <c r="J54">
        <v>238.11123207708874</v>
      </c>
      <c r="K54">
        <v>21.646475643371708</v>
      </c>
      <c r="L54">
        <f t="shared" si="1"/>
        <v>20999.999999999996</v>
      </c>
      <c r="M54">
        <f t="shared" si="2"/>
        <v>0</v>
      </c>
      <c r="N54">
        <v>10</v>
      </c>
      <c r="O54">
        <v>10</v>
      </c>
      <c r="P54">
        <v>30</v>
      </c>
      <c r="Q54">
        <v>5</v>
      </c>
      <c r="R54">
        <v>30</v>
      </c>
      <c r="S54">
        <v>15</v>
      </c>
      <c r="T54" s="43">
        <f t="shared" si="3"/>
        <v>100</v>
      </c>
      <c r="U54">
        <v>23.811123207708874</v>
      </c>
      <c r="V54">
        <v>23.811123207708874</v>
      </c>
      <c r="W54">
        <v>71.433369623126623</v>
      </c>
      <c r="X54">
        <v>11.905561603854437</v>
      </c>
      <c r="Y54">
        <v>71.433369623126623</v>
      </c>
      <c r="Z54">
        <v>35.716684811563312</v>
      </c>
      <c r="AA54" s="43">
        <f t="shared" si="4"/>
        <v>0</v>
      </c>
      <c r="AB54" s="18" t="s">
        <v>76</v>
      </c>
    </row>
    <row r="55" spans="1:29" x14ac:dyDescent="0.25">
      <c r="A55">
        <v>2014</v>
      </c>
      <c r="B55">
        <v>21209</v>
      </c>
      <c r="C55" s="59">
        <v>17.954641897307745</v>
      </c>
      <c r="D55" s="59">
        <v>74.817294544768714</v>
      </c>
      <c r="E55" s="59">
        <v>0</v>
      </c>
      <c r="F55" s="59">
        <v>7.2280635579235222</v>
      </c>
      <c r="G55" s="59">
        <f t="shared" si="0"/>
        <v>99.999999999999972</v>
      </c>
      <c r="H55">
        <v>3808</v>
      </c>
      <c r="I55">
        <v>15867.999999999998</v>
      </c>
      <c r="J55">
        <v>0</v>
      </c>
      <c r="K55">
        <v>1533</v>
      </c>
      <c r="L55">
        <f t="shared" si="1"/>
        <v>21209</v>
      </c>
      <c r="M55">
        <f t="shared" si="2"/>
        <v>0</v>
      </c>
      <c r="N55">
        <v>10</v>
      </c>
      <c r="O55">
        <v>0</v>
      </c>
      <c r="P55">
        <v>75</v>
      </c>
      <c r="Q55">
        <v>5</v>
      </c>
      <c r="R55">
        <v>0</v>
      </c>
      <c r="S55">
        <v>10</v>
      </c>
      <c r="T55" s="43">
        <f t="shared" si="3"/>
        <v>100</v>
      </c>
      <c r="U55">
        <v>380.8</v>
      </c>
      <c r="V55">
        <v>0</v>
      </c>
      <c r="W55">
        <v>2856</v>
      </c>
      <c r="X55">
        <v>190.4</v>
      </c>
      <c r="Y55">
        <v>0</v>
      </c>
      <c r="Z55">
        <v>380.8</v>
      </c>
      <c r="AA55" s="43">
        <f t="shared" si="4"/>
        <v>0</v>
      </c>
      <c r="AB55" s="18" t="s">
        <v>76</v>
      </c>
    </row>
    <row r="56" spans="1:29" x14ac:dyDescent="0.25">
      <c r="A56">
        <v>2076</v>
      </c>
      <c r="B56">
        <v>436632</v>
      </c>
      <c r="C56" s="59">
        <v>4</v>
      </c>
      <c r="D56" s="59">
        <v>96</v>
      </c>
      <c r="E56" s="59">
        <v>0</v>
      </c>
      <c r="F56" s="59">
        <v>0</v>
      </c>
      <c r="G56" s="59">
        <f t="shared" si="0"/>
        <v>100</v>
      </c>
      <c r="H56">
        <v>17465.28</v>
      </c>
      <c r="I56">
        <v>419166.72000000003</v>
      </c>
      <c r="J56">
        <v>0</v>
      </c>
      <c r="K56">
        <v>0</v>
      </c>
      <c r="L56">
        <f t="shared" si="1"/>
        <v>436632</v>
      </c>
      <c r="M56">
        <f t="shared" si="2"/>
        <v>0</v>
      </c>
      <c r="N56">
        <v>0</v>
      </c>
      <c r="O56">
        <v>0</v>
      </c>
      <c r="P56">
        <v>50</v>
      </c>
      <c r="Q56">
        <v>0</v>
      </c>
      <c r="R56">
        <v>0</v>
      </c>
      <c r="S56">
        <v>50</v>
      </c>
      <c r="T56" s="43">
        <f t="shared" si="3"/>
        <v>100</v>
      </c>
      <c r="U56">
        <v>0</v>
      </c>
      <c r="V56">
        <v>0</v>
      </c>
      <c r="W56">
        <v>8732.64</v>
      </c>
      <c r="X56">
        <v>0</v>
      </c>
      <c r="Y56">
        <v>0</v>
      </c>
      <c r="Z56">
        <v>8732.64</v>
      </c>
      <c r="AA56" s="43">
        <f t="shared" si="4"/>
        <v>0</v>
      </c>
      <c r="AB56" s="18" t="s">
        <v>76</v>
      </c>
      <c r="AC56" t="s">
        <v>64</v>
      </c>
    </row>
    <row r="57" spans="1:29" x14ac:dyDescent="0.25">
      <c r="A57">
        <v>2077</v>
      </c>
      <c r="B57">
        <v>50000</v>
      </c>
      <c r="C57" s="59">
        <v>5</v>
      </c>
      <c r="D57" s="59">
        <v>95</v>
      </c>
      <c r="E57" s="59">
        <v>0</v>
      </c>
      <c r="F57" s="59">
        <v>0</v>
      </c>
      <c r="G57" s="59">
        <f t="shared" si="0"/>
        <v>100</v>
      </c>
      <c r="H57">
        <v>2500</v>
      </c>
      <c r="I57">
        <v>47500</v>
      </c>
      <c r="J57">
        <v>0</v>
      </c>
      <c r="K57">
        <v>0</v>
      </c>
      <c r="L57">
        <f t="shared" si="1"/>
        <v>50000</v>
      </c>
      <c r="M57">
        <f t="shared" si="2"/>
        <v>0</v>
      </c>
      <c r="N57">
        <v>16.666666666666664</v>
      </c>
      <c r="O57">
        <v>16.666666666666664</v>
      </c>
      <c r="P57">
        <v>16.666666666666664</v>
      </c>
      <c r="Q57">
        <v>16.666666666666664</v>
      </c>
      <c r="R57">
        <v>16.666666666666664</v>
      </c>
      <c r="S57">
        <v>16.666666666666664</v>
      </c>
      <c r="T57" s="43">
        <f t="shared" si="3"/>
        <v>99.999999999999972</v>
      </c>
      <c r="U57">
        <v>416.66666666666663</v>
      </c>
      <c r="V57">
        <v>416.66666666666663</v>
      </c>
      <c r="W57">
        <v>416.66666666666663</v>
      </c>
      <c r="X57">
        <v>416.66666666666663</v>
      </c>
      <c r="Y57">
        <v>416.66666666666663</v>
      </c>
      <c r="Z57">
        <v>416.66666666666663</v>
      </c>
      <c r="AA57" s="43">
        <f t="shared" si="4"/>
        <v>0</v>
      </c>
      <c r="AB57" s="18" t="s">
        <v>76</v>
      </c>
      <c r="AC57" t="s">
        <v>64</v>
      </c>
    </row>
    <row r="58" spans="1:29" x14ac:dyDescent="0.25">
      <c r="A58">
        <v>2103</v>
      </c>
      <c r="B58">
        <v>375000</v>
      </c>
      <c r="C58" s="59">
        <v>15</v>
      </c>
      <c r="D58" s="59">
        <v>85</v>
      </c>
      <c r="E58" s="59">
        <v>0</v>
      </c>
      <c r="F58" s="59">
        <v>0</v>
      </c>
      <c r="G58" s="59">
        <f t="shared" si="0"/>
        <v>100</v>
      </c>
      <c r="H58">
        <v>56250</v>
      </c>
      <c r="I58">
        <v>318750</v>
      </c>
      <c r="J58">
        <v>0</v>
      </c>
      <c r="K58">
        <v>0</v>
      </c>
      <c r="L58">
        <f t="shared" si="1"/>
        <v>375000</v>
      </c>
      <c r="M58">
        <f t="shared" si="2"/>
        <v>0</v>
      </c>
      <c r="N58">
        <v>10</v>
      </c>
      <c r="O58">
        <v>5</v>
      </c>
      <c r="P58">
        <v>30</v>
      </c>
      <c r="Q58">
        <v>15</v>
      </c>
      <c r="R58">
        <v>20</v>
      </c>
      <c r="S58">
        <v>20</v>
      </c>
      <c r="T58" s="43">
        <f t="shared" si="3"/>
        <v>100</v>
      </c>
      <c r="U58">
        <v>5625</v>
      </c>
      <c r="V58">
        <v>2812.5</v>
      </c>
      <c r="W58">
        <v>16875</v>
      </c>
      <c r="X58">
        <v>8437.5</v>
      </c>
      <c r="Y58">
        <v>11250</v>
      </c>
      <c r="Z58">
        <v>11250</v>
      </c>
      <c r="AA58" s="43">
        <f t="shared" si="4"/>
        <v>0</v>
      </c>
      <c r="AB58" s="18" t="s">
        <v>76</v>
      </c>
    </row>
    <row r="59" spans="1:29" x14ac:dyDescent="0.25">
      <c r="A59">
        <v>2110</v>
      </c>
      <c r="B59">
        <v>66000</v>
      </c>
      <c r="C59" s="59">
        <v>15</v>
      </c>
      <c r="D59" s="59">
        <v>85</v>
      </c>
      <c r="E59" s="59">
        <v>0</v>
      </c>
      <c r="F59" s="59">
        <v>0</v>
      </c>
      <c r="G59" s="59">
        <f t="shared" si="0"/>
        <v>100</v>
      </c>
      <c r="H59">
        <v>9900</v>
      </c>
      <c r="I59">
        <v>56100</v>
      </c>
      <c r="J59">
        <v>0</v>
      </c>
      <c r="K59">
        <v>0</v>
      </c>
      <c r="L59">
        <f t="shared" si="1"/>
        <v>66000</v>
      </c>
      <c r="M59">
        <f t="shared" si="2"/>
        <v>0</v>
      </c>
      <c r="N59">
        <v>0</v>
      </c>
      <c r="O59">
        <v>10</v>
      </c>
      <c r="P59">
        <v>85</v>
      </c>
      <c r="Q59">
        <v>2</v>
      </c>
      <c r="R59">
        <v>2</v>
      </c>
      <c r="S59">
        <v>1</v>
      </c>
      <c r="T59" s="43">
        <f t="shared" si="3"/>
        <v>100</v>
      </c>
      <c r="U59">
        <v>0</v>
      </c>
      <c r="V59">
        <v>990</v>
      </c>
      <c r="W59">
        <v>8415</v>
      </c>
      <c r="X59">
        <v>198</v>
      </c>
      <c r="Y59">
        <v>198</v>
      </c>
      <c r="Z59">
        <v>99</v>
      </c>
      <c r="AA59" s="43">
        <f t="shared" si="4"/>
        <v>0</v>
      </c>
      <c r="AB59" s="18" t="s">
        <v>76</v>
      </c>
    </row>
    <row r="60" spans="1:29" x14ac:dyDescent="0.25">
      <c r="A60">
        <v>2124</v>
      </c>
      <c r="B60">
        <v>111965.9</v>
      </c>
      <c r="C60" s="59">
        <v>6</v>
      </c>
      <c r="D60" s="59">
        <v>55</v>
      </c>
      <c r="E60" s="59">
        <v>1</v>
      </c>
      <c r="F60" s="59">
        <v>38</v>
      </c>
      <c r="G60" s="59">
        <f t="shared" si="0"/>
        <v>100</v>
      </c>
      <c r="H60">
        <v>6717.9539999999988</v>
      </c>
      <c r="I60">
        <v>61581.245000000003</v>
      </c>
      <c r="J60">
        <v>1119.6589999999999</v>
      </c>
      <c r="K60">
        <v>42547.042000000001</v>
      </c>
      <c r="L60">
        <f t="shared" si="1"/>
        <v>111965.90000000001</v>
      </c>
      <c r="M60">
        <f t="shared" si="2"/>
        <v>0</v>
      </c>
      <c r="N60">
        <v>5</v>
      </c>
      <c r="O60">
        <v>5</v>
      </c>
      <c r="P60">
        <v>70</v>
      </c>
      <c r="Q60">
        <v>5</v>
      </c>
      <c r="R60">
        <v>0</v>
      </c>
      <c r="S60">
        <v>15</v>
      </c>
      <c r="T60" s="43">
        <f t="shared" si="3"/>
        <v>100</v>
      </c>
      <c r="U60">
        <v>335.89769999999999</v>
      </c>
      <c r="V60">
        <v>335.89769999999999</v>
      </c>
      <c r="W60">
        <v>4702.5677999999989</v>
      </c>
      <c r="X60">
        <v>335.89769999999999</v>
      </c>
      <c r="Y60">
        <v>0</v>
      </c>
      <c r="Z60">
        <v>1007.6930999999998</v>
      </c>
      <c r="AA60" s="43">
        <f t="shared" si="4"/>
        <v>0</v>
      </c>
      <c r="AB60" s="18" t="s">
        <v>76</v>
      </c>
    </row>
    <row r="61" spans="1:29" x14ac:dyDescent="0.25">
      <c r="A61">
        <v>2371</v>
      </c>
      <c r="B61">
        <v>140000</v>
      </c>
      <c r="C61" s="59">
        <v>3</v>
      </c>
      <c r="D61" s="59">
        <v>87</v>
      </c>
      <c r="E61" s="59">
        <v>1</v>
      </c>
      <c r="F61" s="59">
        <v>9</v>
      </c>
      <c r="G61" s="59">
        <f t="shared" si="0"/>
        <v>100</v>
      </c>
      <c r="H61">
        <v>4200</v>
      </c>
      <c r="I61">
        <v>121800</v>
      </c>
      <c r="J61">
        <v>1400</v>
      </c>
      <c r="K61">
        <v>12600</v>
      </c>
      <c r="L61">
        <f t="shared" si="1"/>
        <v>140000</v>
      </c>
      <c r="M61">
        <f t="shared" si="2"/>
        <v>0</v>
      </c>
      <c r="N61">
        <v>0</v>
      </c>
      <c r="O61">
        <v>0</v>
      </c>
      <c r="P61">
        <v>14.285714285714285</v>
      </c>
      <c r="Q61">
        <v>35.714285714285715</v>
      </c>
      <c r="R61">
        <v>21.428571428571427</v>
      </c>
      <c r="S61">
        <v>28.571428571428569</v>
      </c>
      <c r="T61" s="43">
        <f t="shared" si="3"/>
        <v>100</v>
      </c>
      <c r="U61">
        <v>0</v>
      </c>
      <c r="V61">
        <v>0</v>
      </c>
      <c r="W61">
        <v>599.99999999999989</v>
      </c>
      <c r="X61">
        <v>1500</v>
      </c>
      <c r="Y61">
        <v>900</v>
      </c>
      <c r="Z61">
        <v>1199.9999999999998</v>
      </c>
      <c r="AA61" s="43">
        <f t="shared" si="4"/>
        <v>0</v>
      </c>
      <c r="AB61" t="s">
        <v>76</v>
      </c>
      <c r="AC61" t="s">
        <v>64</v>
      </c>
    </row>
    <row r="62" spans="1:29" x14ac:dyDescent="0.25">
      <c r="A62">
        <v>2373</v>
      </c>
      <c r="B62">
        <v>190000</v>
      </c>
      <c r="C62" s="59">
        <v>15</v>
      </c>
      <c r="D62" s="59">
        <v>85</v>
      </c>
      <c r="E62" s="59">
        <v>0</v>
      </c>
      <c r="F62" s="59">
        <v>0</v>
      </c>
      <c r="G62" s="59">
        <f t="shared" si="0"/>
        <v>100</v>
      </c>
      <c r="H62">
        <v>28500</v>
      </c>
      <c r="I62">
        <v>161500</v>
      </c>
      <c r="J62">
        <v>0</v>
      </c>
      <c r="K62">
        <v>0</v>
      </c>
      <c r="L62">
        <f t="shared" si="1"/>
        <v>190000</v>
      </c>
      <c r="M62">
        <f t="shared" si="2"/>
        <v>0</v>
      </c>
      <c r="N62">
        <v>5</v>
      </c>
      <c r="O62">
        <v>5</v>
      </c>
      <c r="P62">
        <v>53</v>
      </c>
      <c r="Q62">
        <v>25</v>
      </c>
      <c r="R62">
        <v>2</v>
      </c>
      <c r="S62">
        <v>10</v>
      </c>
      <c r="T62" s="43">
        <f t="shared" si="3"/>
        <v>100</v>
      </c>
      <c r="U62">
        <v>1425</v>
      </c>
      <c r="V62">
        <v>1425</v>
      </c>
      <c r="W62">
        <v>15105</v>
      </c>
      <c r="X62">
        <v>7125</v>
      </c>
      <c r="Y62">
        <v>570</v>
      </c>
      <c r="Z62">
        <v>2850</v>
      </c>
      <c r="AA62" s="43">
        <f t="shared" si="4"/>
        <v>0</v>
      </c>
      <c r="AB62" t="s">
        <v>76</v>
      </c>
    </row>
    <row r="63" spans="1:29" x14ac:dyDescent="0.25">
      <c r="A63">
        <v>2377</v>
      </c>
      <c r="B63">
        <v>35132</v>
      </c>
      <c r="C63" s="59">
        <v>10</v>
      </c>
      <c r="D63" s="59">
        <v>80</v>
      </c>
      <c r="E63" s="59">
        <v>0</v>
      </c>
      <c r="F63" s="59">
        <v>10</v>
      </c>
      <c r="G63" s="59">
        <f t="shared" si="0"/>
        <v>100</v>
      </c>
      <c r="H63">
        <v>3513.2000000000003</v>
      </c>
      <c r="I63">
        <v>28105.600000000002</v>
      </c>
      <c r="J63">
        <v>0</v>
      </c>
      <c r="K63">
        <v>3513.2000000000003</v>
      </c>
      <c r="L63">
        <f t="shared" si="1"/>
        <v>35132</v>
      </c>
      <c r="M63">
        <f t="shared" si="2"/>
        <v>0</v>
      </c>
      <c r="N63">
        <v>5</v>
      </c>
      <c r="O63">
        <v>5</v>
      </c>
      <c r="P63">
        <v>25</v>
      </c>
      <c r="Q63">
        <v>5</v>
      </c>
      <c r="R63">
        <v>10</v>
      </c>
      <c r="S63">
        <v>50</v>
      </c>
      <c r="T63" s="43">
        <f t="shared" si="3"/>
        <v>100</v>
      </c>
      <c r="U63">
        <v>175.66</v>
      </c>
      <c r="V63">
        <v>175.66</v>
      </c>
      <c r="W63">
        <v>878.30000000000007</v>
      </c>
      <c r="X63">
        <v>175.66</v>
      </c>
      <c r="Y63">
        <v>351.32</v>
      </c>
      <c r="Z63">
        <v>1756.6000000000001</v>
      </c>
      <c r="AA63" s="43">
        <f t="shared" si="4"/>
        <v>0</v>
      </c>
      <c r="AB63" t="s">
        <v>76</v>
      </c>
    </row>
    <row r="64" spans="1:29" x14ac:dyDescent="0.25">
      <c r="C64" s="59"/>
      <c r="D64" s="59"/>
      <c r="E64" s="59"/>
      <c r="F64" s="59"/>
      <c r="G64" s="59"/>
      <c r="T64" s="43"/>
      <c r="AA64" s="43"/>
    </row>
    <row r="65" spans="1:29" x14ac:dyDescent="0.25">
      <c r="C65" t="s">
        <v>67</v>
      </c>
      <c r="D65" t="s">
        <v>68</v>
      </c>
      <c r="E65" t="s">
        <v>69</v>
      </c>
      <c r="F65" t="s">
        <v>70</v>
      </c>
      <c r="G65" s="59">
        <f t="shared" si="0"/>
        <v>0</v>
      </c>
      <c r="H65" t="s">
        <v>71</v>
      </c>
      <c r="I65" t="s">
        <v>72</v>
      </c>
      <c r="J65" t="s">
        <v>73</v>
      </c>
      <c r="K65" t="s">
        <v>74</v>
      </c>
      <c r="N65" t="s">
        <v>119</v>
      </c>
      <c r="O65" t="s">
        <v>120</v>
      </c>
      <c r="P65" t="s">
        <v>121</v>
      </c>
      <c r="Q65" t="s">
        <v>122</v>
      </c>
      <c r="R65" t="s">
        <v>123</v>
      </c>
      <c r="S65" t="s">
        <v>124</v>
      </c>
      <c r="T65" s="43"/>
      <c r="U65" s="90">
        <f>SUM(U1:U62)</f>
        <v>28242.179062508847</v>
      </c>
      <c r="V65" s="90">
        <f t="shared" ref="V65:X65" si="5">SUM(V1:V62)</f>
        <v>40312.566756898719</v>
      </c>
      <c r="W65" s="90">
        <f t="shared" si="5"/>
        <v>861974.37667326012</v>
      </c>
      <c r="X65" s="90">
        <f t="shared" si="5"/>
        <v>240136.13318147531</v>
      </c>
      <c r="Y65" s="90">
        <f t="shared" ref="Y65:Z65" si="6">SUM(Y1:Y62)</f>
        <v>228738.718918217</v>
      </c>
      <c r="Z65" s="90">
        <f t="shared" si="6"/>
        <v>109620.76001701136</v>
      </c>
      <c r="AA65" s="95">
        <f>SUM(U65:Z65)</f>
        <v>1509024.7346093715</v>
      </c>
      <c r="AB65" t="s">
        <v>132</v>
      </c>
      <c r="AC65" t="s">
        <v>133</v>
      </c>
    </row>
    <row r="66" spans="1:29" x14ac:dyDescent="0.25">
      <c r="B66" s="93">
        <f>SUM(B2:B63)</f>
        <v>11388503.16</v>
      </c>
      <c r="C66">
        <f>AVERAGE(C63:K63)</f>
        <v>3925.7777777777778</v>
      </c>
      <c r="D66">
        <f>AVERAGE(D63:N63)</f>
        <v>6405.363636363636</v>
      </c>
      <c r="E66">
        <f>AVERAGE(E63:O63)</f>
        <v>6398.545454545455</v>
      </c>
      <c r="F66">
        <f>AVERAGE(F63:P63)</f>
        <v>6400.818181818182</v>
      </c>
      <c r="G66" s="59">
        <f t="shared" si="0"/>
        <v>23130.505050505053</v>
      </c>
      <c r="H66" s="90">
        <f>SUM(H2:H63)</f>
        <v>1512537.9346093705</v>
      </c>
      <c r="I66" s="90">
        <f t="shared" ref="I66:K66" si="7">SUM(I2:I63)</f>
        <v>9404980.4248072915</v>
      </c>
      <c r="J66" s="90">
        <f t="shared" si="7"/>
        <v>258679.43634725394</v>
      </c>
      <c r="K66" s="90">
        <f t="shared" si="7"/>
        <v>212306.36423608474</v>
      </c>
      <c r="L66" s="93">
        <f>SUM(L2:L63)</f>
        <v>11388504.16</v>
      </c>
      <c r="M66" s="93"/>
      <c r="N66">
        <f>AVERAGE(N63:V63)</f>
        <v>61.257777777777768</v>
      </c>
      <c r="O66">
        <f>AVERAGE(O63:W63)</f>
        <v>158.29111111111109</v>
      </c>
      <c r="P66">
        <f>AVERAGE(P63:X63)</f>
        <v>177.25333333333333</v>
      </c>
      <c r="Q66">
        <f>AVERAGE(Q63:Y63)</f>
        <v>213.51111111111109</v>
      </c>
      <c r="R66">
        <f>AVERAGE(R63:Z63)</f>
        <v>408.13333333333333</v>
      </c>
      <c r="S66">
        <f>AVERAGE(S63:AB63)</f>
        <v>407.02222222222218</v>
      </c>
      <c r="T66" s="43"/>
      <c r="U66" s="92">
        <f>AVERAGE(U1:U62)</f>
        <v>462.98654200834176</v>
      </c>
      <c r="V66" s="92">
        <f t="shared" ref="V66:X66" si="8">AVERAGE(V1:V62)</f>
        <v>660.86175011309376</v>
      </c>
      <c r="W66" s="92">
        <f t="shared" si="8"/>
        <v>14130.727486446887</v>
      </c>
      <c r="X66" s="92">
        <f t="shared" si="8"/>
        <v>3936.6579210077921</v>
      </c>
      <c r="Y66" s="92">
        <f t="shared" ref="Y66:Z66" si="9">AVERAGE(Y1:Y62)</f>
        <v>3749.8150642330656</v>
      </c>
      <c r="Z66" s="92">
        <f t="shared" si="9"/>
        <v>1797.0616396231371</v>
      </c>
      <c r="AA66" s="43"/>
      <c r="AB66" t="e">
        <f t="shared" ref="AB66" si="10">AVERAGE(AB63:AI63)</f>
        <v>#DIV/0!</v>
      </c>
    </row>
    <row r="67" spans="1:29" x14ac:dyDescent="0.25">
      <c r="B67" s="92">
        <f>AVERAGE(B2:B63)</f>
        <v>183685.53483870969</v>
      </c>
      <c r="G67" t="s">
        <v>254</v>
      </c>
      <c r="H67" s="92">
        <f>AVERAGE(H2:H63)</f>
        <v>24395.773138860815</v>
      </c>
      <c r="I67" s="92">
        <f t="shared" ref="I67:K67" si="11">AVERAGE(I2:I63)</f>
        <v>151693.23265818213</v>
      </c>
      <c r="J67" s="92">
        <f t="shared" si="11"/>
        <v>4172.2489733428056</v>
      </c>
      <c r="K67" s="92">
        <f t="shared" si="11"/>
        <v>3424.2961973562055</v>
      </c>
      <c r="L67" s="92">
        <f>SUM(H66:K66)</f>
        <v>11388504.16</v>
      </c>
      <c r="M67" s="92"/>
      <c r="N67" s="60">
        <f>SUM(H67:L67)</f>
        <v>11572189.710967742</v>
      </c>
      <c r="U67" s="95">
        <f>U66*1343*0.875</f>
        <v>544067.06017755263</v>
      </c>
      <c r="V67" s="95">
        <f t="shared" ref="V67:Z67" si="12">V66*1343*0.875</f>
        <v>776595.16410164931</v>
      </c>
      <c r="W67" s="95">
        <f t="shared" si="12"/>
        <v>16605371.137510899</v>
      </c>
      <c r="X67" s="95">
        <f t="shared" si="12"/>
        <v>4626065.1394242812</v>
      </c>
      <c r="Y67" s="95">
        <f t="shared" si="12"/>
        <v>4406501.4273568811</v>
      </c>
      <c r="Z67" s="95">
        <f t="shared" si="12"/>
        <v>2111772.0592621388</v>
      </c>
      <c r="AA67" s="97">
        <f>SUM(U67:Z67)</f>
        <v>29070371.987833403</v>
      </c>
    </row>
    <row r="68" spans="1:29" x14ac:dyDescent="0.25">
      <c r="B68" s="95">
        <f>B67*1343</f>
        <v>246689673.28838712</v>
      </c>
      <c r="G68" t="s">
        <v>255</v>
      </c>
      <c r="H68" s="95">
        <f>H67*1343</f>
        <v>32763523.325490076</v>
      </c>
      <c r="I68" s="95">
        <f t="shared" ref="I68:K68" si="13">I67*1343</f>
        <v>203724011.45993859</v>
      </c>
      <c r="J68" s="95">
        <f t="shared" si="13"/>
        <v>5603330.3711993881</v>
      </c>
      <c r="K68" s="95">
        <f t="shared" si="13"/>
        <v>4598829.7930493839</v>
      </c>
      <c r="L68" s="96">
        <f>SUM(H68:K68)</f>
        <v>246689694.94967747</v>
      </c>
    </row>
    <row r="69" spans="1:29" x14ac:dyDescent="0.25">
      <c r="C69" s="277" t="s">
        <v>256</v>
      </c>
      <c r="D69" s="277"/>
    </row>
    <row r="70" spans="1:29" x14ac:dyDescent="0.25">
      <c r="C70" t="s">
        <v>254</v>
      </c>
      <c r="D70">
        <v>185077</v>
      </c>
    </row>
    <row r="71" spans="1:29" x14ac:dyDescent="0.25">
      <c r="C71" t="s">
        <v>255</v>
      </c>
      <c r="D71" s="92">
        <f>D70*1343</f>
        <v>248558411</v>
      </c>
      <c r="F71" t="s">
        <v>251</v>
      </c>
      <c r="H71">
        <f>AVERAGE(H2:H63)</f>
        <v>24395.773138860815</v>
      </c>
    </row>
    <row r="72" spans="1:29" x14ac:dyDescent="0.25">
      <c r="F72" t="s">
        <v>252</v>
      </c>
      <c r="H72">
        <f>SUM(U66:Z66)</f>
        <v>24738.110403432318</v>
      </c>
    </row>
    <row r="74" spans="1:29" x14ac:dyDescent="0.25">
      <c r="A74">
        <v>1883</v>
      </c>
      <c r="B74">
        <v>350148</v>
      </c>
      <c r="C74" s="59">
        <v>20</v>
      </c>
      <c r="D74" s="59">
        <v>84.7</v>
      </c>
      <c r="E74" s="59">
        <v>6.1</v>
      </c>
      <c r="F74" s="59">
        <v>7.2</v>
      </c>
      <c r="G74" s="91">
        <f>SUM(C74:F74)</f>
        <v>118</v>
      </c>
      <c r="H74">
        <v>70029.600000000006</v>
      </c>
      <c r="I74">
        <v>296575.35600000003</v>
      </c>
      <c r="J74">
        <v>21359.027999999998</v>
      </c>
      <c r="K74">
        <v>25210.656000000003</v>
      </c>
      <c r="L74">
        <f>SUM(H74:K74)</f>
        <v>413174.64</v>
      </c>
      <c r="M74" s="94">
        <f>L74-B74</f>
        <v>63026.640000000014</v>
      </c>
      <c r="N74">
        <v>0</v>
      </c>
      <c r="O74">
        <v>3.9982864486648584</v>
      </c>
      <c r="P74">
        <v>15.707553905469085</v>
      </c>
      <c r="Q74">
        <v>49.978580608310722</v>
      </c>
      <c r="R74">
        <v>30.029987148364985</v>
      </c>
      <c r="S74">
        <v>0.28559188919034695</v>
      </c>
      <c r="U74">
        <v>0</v>
      </c>
      <c r="V74">
        <v>2799.9840068542062</v>
      </c>
      <c r="W74">
        <v>10999.93716978438</v>
      </c>
      <c r="X74">
        <v>34999.800085677569</v>
      </c>
      <c r="Y74">
        <v>21029.879880051409</v>
      </c>
      <c r="Z74">
        <v>199.99885763244322</v>
      </c>
      <c r="AB74" s="18" t="s">
        <v>76</v>
      </c>
    </row>
  </sheetData>
  <mergeCells count="1">
    <mergeCell ref="C69:D6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52"/>
  <sheetViews>
    <sheetView topLeftCell="A55" workbookViewId="0">
      <selection activeCell="P81" sqref="P81"/>
    </sheetView>
  </sheetViews>
  <sheetFormatPr defaultColWidth="8.85546875" defaultRowHeight="15" x14ac:dyDescent="0.25"/>
  <cols>
    <col min="6" max="6" width="22.7109375" bestFit="1" customWidth="1"/>
    <col min="13" max="13" width="18.7109375" bestFit="1" customWidth="1"/>
    <col min="14" max="14" width="19.7109375" bestFit="1" customWidth="1"/>
    <col min="33" max="33" width="12.140625" bestFit="1" customWidth="1"/>
    <col min="35" max="35" width="10" customWidth="1"/>
    <col min="36" max="36" width="11.28515625" customWidth="1"/>
    <col min="37" max="37" width="10.42578125" customWidth="1"/>
    <col min="46" max="46" width="14.28515625" bestFit="1" customWidth="1"/>
    <col min="47" max="49" width="9" bestFit="1" customWidth="1"/>
    <col min="50" max="50" width="9.140625" bestFit="1" customWidth="1"/>
    <col min="51" max="51" width="9" bestFit="1" customWidth="1"/>
  </cols>
  <sheetData>
    <row r="1" spans="1:83" x14ac:dyDescent="0.25">
      <c r="A1" s="14" t="s">
        <v>12</v>
      </c>
      <c r="B1" s="14" t="s">
        <v>62</v>
      </c>
      <c r="C1" s="16" t="s">
        <v>85</v>
      </c>
      <c r="D1" s="16" t="s">
        <v>209</v>
      </c>
      <c r="E1" s="13" t="s">
        <v>84</v>
      </c>
      <c r="F1" t="s">
        <v>83</v>
      </c>
      <c r="G1" t="s">
        <v>86</v>
      </c>
      <c r="I1" t="s">
        <v>67</v>
      </c>
      <c r="J1" t="s">
        <v>68</v>
      </c>
      <c r="K1" t="s">
        <v>69</v>
      </c>
      <c r="L1" t="s">
        <v>70</v>
      </c>
      <c r="M1" t="s">
        <v>71</v>
      </c>
      <c r="N1" t="s">
        <v>72</v>
      </c>
      <c r="O1" t="s">
        <v>73</v>
      </c>
      <c r="P1" t="s">
        <v>74</v>
      </c>
      <c r="Q1" t="s">
        <v>81</v>
      </c>
      <c r="R1" t="s">
        <v>75</v>
      </c>
      <c r="S1" t="s">
        <v>78</v>
      </c>
      <c r="T1" t="s">
        <v>79</v>
      </c>
      <c r="U1" t="s">
        <v>80</v>
      </c>
      <c r="V1" t="s">
        <v>62</v>
      </c>
      <c r="W1" t="s">
        <v>114</v>
      </c>
      <c r="X1" t="s">
        <v>115</v>
      </c>
      <c r="Y1" t="s">
        <v>117</v>
      </c>
      <c r="AA1" t="s">
        <v>119</v>
      </c>
      <c r="AB1" t="s">
        <v>120</v>
      </c>
      <c r="AC1" t="s">
        <v>121</v>
      </c>
      <c r="AD1" t="s">
        <v>122</v>
      </c>
      <c r="AE1" t="s">
        <v>123</v>
      </c>
      <c r="AF1" t="s">
        <v>124</v>
      </c>
      <c r="AG1" t="s">
        <v>125</v>
      </c>
      <c r="AH1" t="s">
        <v>126</v>
      </c>
      <c r="AI1" t="s">
        <v>127</v>
      </c>
      <c r="AJ1" t="s">
        <v>128</v>
      </c>
      <c r="AK1" t="s">
        <v>129</v>
      </c>
      <c r="AL1" t="s">
        <v>130</v>
      </c>
      <c r="AM1" t="s">
        <v>132</v>
      </c>
      <c r="AN1" t="s">
        <v>133</v>
      </c>
      <c r="AO1" s="18" t="s">
        <v>135</v>
      </c>
      <c r="AP1" s="20" t="s">
        <v>119</v>
      </c>
      <c r="AQ1" s="20" t="s">
        <v>120</v>
      </c>
      <c r="AR1" s="20" t="s">
        <v>139</v>
      </c>
      <c r="AS1" s="20" t="s">
        <v>140</v>
      </c>
      <c r="AT1" s="20" t="s">
        <v>124</v>
      </c>
      <c r="AU1" s="20" t="s">
        <v>141</v>
      </c>
      <c r="AV1" s="20" t="s">
        <v>142</v>
      </c>
      <c r="AW1" s="20" t="s">
        <v>143</v>
      </c>
      <c r="AX1" s="20" t="s">
        <v>144</v>
      </c>
      <c r="AY1" s="20" t="s">
        <v>145</v>
      </c>
      <c r="AZ1" s="21" t="s">
        <v>146</v>
      </c>
      <c r="BA1" s="18" t="s">
        <v>138</v>
      </c>
      <c r="BB1" t="s">
        <v>148</v>
      </c>
      <c r="BC1" t="s">
        <v>146</v>
      </c>
      <c r="BD1" s="22" t="s">
        <v>150</v>
      </c>
      <c r="BE1" s="22" t="s">
        <v>151</v>
      </c>
      <c r="BF1" s="22" t="s">
        <v>152</v>
      </c>
      <c r="BG1" s="22" t="s">
        <v>153</v>
      </c>
      <c r="BH1" s="22" t="s">
        <v>154</v>
      </c>
      <c r="BI1" s="22" t="s">
        <v>155</v>
      </c>
      <c r="BJ1" s="22" t="s">
        <v>156</v>
      </c>
      <c r="BK1" s="22" t="s">
        <v>146</v>
      </c>
      <c r="BL1" t="s">
        <v>161</v>
      </c>
      <c r="BN1" s="28" t="s">
        <v>164</v>
      </c>
      <c r="BO1" s="13" t="s">
        <v>166</v>
      </c>
      <c r="BP1" s="278" t="s">
        <v>173</v>
      </c>
      <c r="BQ1" s="278"/>
      <c r="BR1" s="278"/>
      <c r="BS1" s="278"/>
      <c r="BT1" s="278"/>
      <c r="BU1" s="278"/>
      <c r="BV1" s="278"/>
      <c r="BW1" s="278"/>
      <c r="BX1" s="278"/>
      <c r="BY1" s="29" t="s">
        <v>176</v>
      </c>
      <c r="BZ1" s="277" t="s">
        <v>198</v>
      </c>
      <c r="CA1" s="277"/>
      <c r="CB1" s="277"/>
      <c r="CC1" s="277"/>
      <c r="CD1" s="277"/>
    </row>
    <row r="2" spans="1:83" x14ac:dyDescent="0.25">
      <c r="A2">
        <v>250</v>
      </c>
      <c r="B2" t="s">
        <v>58</v>
      </c>
      <c r="C2" t="s">
        <v>13</v>
      </c>
      <c r="D2" t="s">
        <v>210</v>
      </c>
      <c r="F2">
        <v>1500000</v>
      </c>
      <c r="G2" t="s">
        <v>65</v>
      </c>
      <c r="H2">
        <f>SUM(M2:P2)-F2</f>
        <v>0</v>
      </c>
      <c r="I2">
        <v>15</v>
      </c>
      <c r="J2">
        <v>80</v>
      </c>
      <c r="K2">
        <v>5</v>
      </c>
      <c r="L2">
        <v>0</v>
      </c>
      <c r="M2">
        <v>225000</v>
      </c>
      <c r="N2">
        <v>1200000</v>
      </c>
      <c r="O2">
        <v>75000</v>
      </c>
      <c r="P2">
        <v>0</v>
      </c>
      <c r="Q2" t="s">
        <v>76</v>
      </c>
      <c r="S2">
        <v>55</v>
      </c>
      <c r="T2">
        <v>35</v>
      </c>
      <c r="V2" t="s">
        <v>76</v>
      </c>
      <c r="W2" t="s">
        <v>89</v>
      </c>
      <c r="X2" t="s">
        <v>89</v>
      </c>
      <c r="Z2">
        <v>225000</v>
      </c>
      <c r="AA2" s="43">
        <v>0</v>
      </c>
      <c r="AB2" s="43">
        <v>0</v>
      </c>
      <c r="AC2" s="43">
        <v>71.428571428571431</v>
      </c>
      <c r="AD2" s="43">
        <v>1.7857142857142856</v>
      </c>
      <c r="AE2" s="43">
        <v>26.785714285714285</v>
      </c>
      <c r="AF2" s="43">
        <v>0</v>
      </c>
      <c r="AG2" s="43">
        <v>0</v>
      </c>
      <c r="AH2" s="43">
        <v>0</v>
      </c>
      <c r="AI2" s="43">
        <v>160714.28571428574</v>
      </c>
      <c r="AJ2" s="43">
        <v>4017.8571428571427</v>
      </c>
      <c r="AK2" s="43">
        <v>60267.857142857138</v>
      </c>
      <c r="AL2" s="43">
        <v>0</v>
      </c>
      <c r="AM2" t="s">
        <v>76</v>
      </c>
      <c r="AN2" t="s">
        <v>64</v>
      </c>
      <c r="AO2" t="s">
        <v>64</v>
      </c>
      <c r="AP2" s="11"/>
      <c r="AQ2" s="11"/>
      <c r="AR2" s="11"/>
      <c r="AS2" s="11"/>
      <c r="AT2" s="11"/>
      <c r="AU2" s="11"/>
      <c r="AV2" s="11"/>
      <c r="AW2" s="11"/>
      <c r="AX2" s="11"/>
      <c r="AY2" s="11"/>
      <c r="AZ2" s="11" t="s">
        <v>77</v>
      </c>
      <c r="BC2" t="s">
        <v>77</v>
      </c>
      <c r="BD2" s="22"/>
      <c r="BE2" s="22"/>
      <c r="BF2" s="22"/>
      <c r="BG2" s="22"/>
      <c r="BH2" s="22"/>
      <c r="BI2" s="22"/>
      <c r="BJ2" s="22"/>
      <c r="BK2" s="22" t="s">
        <v>77</v>
      </c>
      <c r="BL2" t="s">
        <v>77</v>
      </c>
      <c r="BN2" s="22" t="s">
        <v>77</v>
      </c>
      <c r="BO2" s="28" t="s">
        <v>165</v>
      </c>
      <c r="BP2" t="s">
        <v>167</v>
      </c>
      <c r="BQ2" t="s">
        <v>168</v>
      </c>
      <c r="BR2" t="s">
        <v>169</v>
      </c>
      <c r="BS2" t="s">
        <v>170</v>
      </c>
      <c r="BT2" t="s">
        <v>171</v>
      </c>
      <c r="BU2" t="s">
        <v>172</v>
      </c>
      <c r="BW2" t="s">
        <v>195</v>
      </c>
      <c r="BX2" t="s">
        <v>163</v>
      </c>
      <c r="BY2" t="s">
        <v>175</v>
      </c>
      <c r="BZ2" t="s">
        <v>177</v>
      </c>
      <c r="CA2" t="s">
        <v>163</v>
      </c>
      <c r="CB2" t="s">
        <v>179</v>
      </c>
      <c r="CC2" t="s">
        <v>146</v>
      </c>
      <c r="CD2" t="s">
        <v>178</v>
      </c>
      <c r="CE2" t="s">
        <v>146</v>
      </c>
    </row>
    <row r="3" spans="1:83" x14ac:dyDescent="0.25">
      <c r="A3">
        <v>813</v>
      </c>
      <c r="B3" t="s">
        <v>58</v>
      </c>
      <c r="C3" t="s">
        <v>16</v>
      </c>
      <c r="D3" t="s">
        <v>210</v>
      </c>
      <c r="E3">
        <v>120000</v>
      </c>
      <c r="F3">
        <v>111000</v>
      </c>
      <c r="G3" t="s">
        <v>65</v>
      </c>
      <c r="I3" s="11"/>
      <c r="J3" s="11"/>
      <c r="K3" s="11"/>
      <c r="L3" s="11"/>
      <c r="M3" s="11"/>
      <c r="N3" s="11"/>
      <c r="O3" s="11"/>
      <c r="P3" s="11"/>
      <c r="Q3" s="11" t="s">
        <v>77</v>
      </c>
      <c r="R3" s="17"/>
      <c r="V3" t="s">
        <v>77</v>
      </c>
      <c r="W3" t="s">
        <v>77</v>
      </c>
      <c r="X3" t="s">
        <v>77</v>
      </c>
      <c r="Z3" s="11"/>
      <c r="AA3" s="11"/>
      <c r="AB3" s="11"/>
      <c r="AC3" s="11"/>
      <c r="AD3" s="11"/>
      <c r="AE3" s="11"/>
      <c r="AF3" s="11"/>
      <c r="AG3" s="11"/>
      <c r="AH3" s="11"/>
      <c r="AI3" s="11"/>
      <c r="AJ3" s="11"/>
      <c r="AK3" s="11"/>
      <c r="AL3" s="11"/>
      <c r="AM3" s="11" t="s">
        <v>77</v>
      </c>
      <c r="AO3" t="s">
        <v>77</v>
      </c>
      <c r="AP3" s="11"/>
      <c r="AQ3" s="11"/>
      <c r="AR3" s="11"/>
      <c r="AS3" s="11"/>
      <c r="AT3" s="11"/>
      <c r="AU3" s="11"/>
      <c r="AV3" s="11"/>
      <c r="AW3" s="11"/>
      <c r="AX3" s="11"/>
      <c r="AY3" s="11"/>
      <c r="AZ3" s="11" t="s">
        <v>77</v>
      </c>
      <c r="BC3" t="s">
        <v>77</v>
      </c>
      <c r="BD3" s="22"/>
      <c r="BE3" s="22"/>
      <c r="BF3" s="22"/>
      <c r="BG3" s="22"/>
      <c r="BH3" s="22"/>
      <c r="BI3" s="22"/>
      <c r="BJ3" s="22"/>
      <c r="BK3" s="22" t="s">
        <v>77</v>
      </c>
      <c r="BL3" t="s">
        <v>77</v>
      </c>
      <c r="BN3" s="22" t="s">
        <v>77</v>
      </c>
      <c r="BO3" s="22"/>
      <c r="BX3" t="s">
        <v>77</v>
      </c>
      <c r="BY3" t="s">
        <v>90</v>
      </c>
      <c r="CA3" t="s">
        <v>76</v>
      </c>
      <c r="CC3" t="s">
        <v>77</v>
      </c>
      <c r="CE3" t="s">
        <v>77</v>
      </c>
    </row>
    <row r="4" spans="1:83" x14ac:dyDescent="0.25">
      <c r="A4">
        <v>862</v>
      </c>
      <c r="B4" t="s">
        <v>58</v>
      </c>
      <c r="C4" t="s">
        <v>18</v>
      </c>
      <c r="D4" t="s">
        <v>210</v>
      </c>
      <c r="E4">
        <v>193193</v>
      </c>
      <c r="F4">
        <v>164082</v>
      </c>
      <c r="G4" t="s">
        <v>65</v>
      </c>
      <c r="H4">
        <f t="shared" ref="H4:H65" si="0">SUM(M4:P4)-F4</f>
        <v>0</v>
      </c>
      <c r="I4">
        <v>0</v>
      </c>
      <c r="J4">
        <v>82.339318145805152</v>
      </c>
      <c r="K4">
        <v>17.660681854194856</v>
      </c>
      <c r="L4">
        <v>0</v>
      </c>
      <c r="M4">
        <v>0</v>
      </c>
      <c r="N4">
        <v>135104</v>
      </c>
      <c r="O4">
        <v>28978.000000000004</v>
      </c>
      <c r="P4">
        <v>0</v>
      </c>
      <c r="Q4" t="s">
        <v>76</v>
      </c>
      <c r="S4">
        <v>30</v>
      </c>
      <c r="T4">
        <v>25</v>
      </c>
      <c r="V4" t="s">
        <v>76</v>
      </c>
      <c r="W4" t="s">
        <v>89</v>
      </c>
      <c r="X4" t="s">
        <v>89</v>
      </c>
      <c r="Z4">
        <v>0</v>
      </c>
      <c r="AA4" s="11"/>
      <c r="AB4" s="11"/>
      <c r="AC4" s="11"/>
      <c r="AD4" s="11"/>
      <c r="AE4" s="11"/>
      <c r="AF4" s="11"/>
      <c r="AG4" s="11"/>
      <c r="AH4" s="11"/>
      <c r="AI4" s="11"/>
      <c r="AJ4" s="11"/>
      <c r="AK4" s="11"/>
      <c r="AL4" s="11"/>
      <c r="AM4" s="11" t="s">
        <v>77</v>
      </c>
      <c r="AO4" t="s">
        <v>64</v>
      </c>
      <c r="AP4">
        <v>0</v>
      </c>
      <c r="AQ4">
        <v>0</v>
      </c>
      <c r="AR4">
        <v>0</v>
      </c>
      <c r="AS4">
        <v>100</v>
      </c>
      <c r="AT4">
        <v>0</v>
      </c>
      <c r="AU4">
        <v>0</v>
      </c>
      <c r="AV4">
        <v>0</v>
      </c>
      <c r="AW4">
        <v>0</v>
      </c>
      <c r="AX4">
        <v>28978.000000000004</v>
      </c>
      <c r="AY4">
        <v>0</v>
      </c>
      <c r="AZ4" t="s">
        <v>76</v>
      </c>
      <c r="BB4">
        <v>5520</v>
      </c>
      <c r="BC4" t="s">
        <v>76</v>
      </c>
      <c r="BD4" s="22">
        <v>30</v>
      </c>
      <c r="BE4" s="22"/>
      <c r="BF4" s="22">
        <v>30</v>
      </c>
      <c r="BG4" s="22"/>
      <c r="BH4" s="22"/>
      <c r="BI4" s="22"/>
      <c r="BJ4" s="22"/>
      <c r="BK4" s="22" t="s">
        <v>76</v>
      </c>
      <c r="BL4" t="s">
        <v>63</v>
      </c>
      <c r="BN4" s="22" t="s">
        <v>77</v>
      </c>
      <c r="BO4" s="22"/>
      <c r="BX4" t="s">
        <v>77</v>
      </c>
      <c r="BY4" t="s">
        <v>77</v>
      </c>
      <c r="CA4" t="s">
        <v>201</v>
      </c>
      <c r="CC4" t="s">
        <v>77</v>
      </c>
      <c r="CE4" t="s">
        <v>77</v>
      </c>
    </row>
    <row r="5" spans="1:83" x14ac:dyDescent="0.25">
      <c r="A5">
        <v>966</v>
      </c>
      <c r="B5" t="s">
        <v>58</v>
      </c>
      <c r="C5" t="s">
        <v>20</v>
      </c>
      <c r="D5" t="s">
        <v>210</v>
      </c>
      <c r="E5">
        <v>222000</v>
      </c>
      <c r="F5">
        <v>235576</v>
      </c>
      <c r="G5" t="s">
        <v>65</v>
      </c>
      <c r="H5">
        <f t="shared" si="0"/>
        <v>0</v>
      </c>
      <c r="I5">
        <v>0</v>
      </c>
      <c r="J5">
        <v>99.179679098378287</v>
      </c>
      <c r="K5">
        <v>0.46328558523680474</v>
      </c>
      <c r="L5">
        <v>0.35703531638490987</v>
      </c>
      <c r="M5">
        <v>0</v>
      </c>
      <c r="N5">
        <v>233643.52083279565</v>
      </c>
      <c r="O5">
        <v>1091.3896502774551</v>
      </c>
      <c r="P5">
        <v>841.08951692691528</v>
      </c>
      <c r="Q5" t="s">
        <v>76</v>
      </c>
      <c r="R5" t="s">
        <v>64</v>
      </c>
      <c r="S5">
        <v>85.5</v>
      </c>
      <c r="T5">
        <v>85.5</v>
      </c>
      <c r="U5">
        <v>85.5</v>
      </c>
      <c r="V5" t="s">
        <v>76</v>
      </c>
      <c r="W5" t="s">
        <v>89</v>
      </c>
      <c r="X5" t="s">
        <v>89</v>
      </c>
      <c r="Z5">
        <v>0</v>
      </c>
      <c r="AM5" s="11" t="s">
        <v>118</v>
      </c>
      <c r="AN5" t="s">
        <v>64</v>
      </c>
      <c r="AO5" t="s">
        <v>64</v>
      </c>
      <c r="AP5" s="11"/>
      <c r="AQ5" s="11"/>
      <c r="AR5" s="11"/>
      <c r="AS5" s="11"/>
      <c r="AT5" s="11"/>
      <c r="AU5" s="11"/>
      <c r="AV5" s="11"/>
      <c r="AW5" s="11"/>
      <c r="AX5" s="11"/>
      <c r="AY5" s="11"/>
      <c r="AZ5" s="11" t="s">
        <v>77</v>
      </c>
      <c r="BC5" t="s">
        <v>77</v>
      </c>
      <c r="BD5" s="22"/>
      <c r="BE5" s="22"/>
      <c r="BF5" s="22"/>
      <c r="BG5" s="22"/>
      <c r="BH5" s="22"/>
      <c r="BI5" s="22"/>
      <c r="BJ5" s="22"/>
      <c r="BK5" s="22" t="s">
        <v>77</v>
      </c>
      <c r="BL5" t="s">
        <v>77</v>
      </c>
      <c r="BN5" s="22" t="s">
        <v>77</v>
      </c>
      <c r="BO5" s="22"/>
      <c r="BX5" t="s">
        <v>77</v>
      </c>
      <c r="BY5" t="s">
        <v>90</v>
      </c>
      <c r="CA5" t="s">
        <v>76</v>
      </c>
      <c r="CC5" t="s">
        <v>77</v>
      </c>
      <c r="CE5" t="s">
        <v>77</v>
      </c>
    </row>
    <row r="6" spans="1:83" x14ac:dyDescent="0.25">
      <c r="A6">
        <v>968</v>
      </c>
      <c r="B6" t="s">
        <v>58</v>
      </c>
      <c r="C6" t="s">
        <v>13</v>
      </c>
      <c r="D6" t="s">
        <v>210</v>
      </c>
      <c r="E6">
        <v>346964</v>
      </c>
      <c r="F6">
        <f>SUM(M6:P6)</f>
        <v>164918</v>
      </c>
      <c r="G6" t="s">
        <v>65</v>
      </c>
      <c r="H6">
        <f t="shared" si="0"/>
        <v>0</v>
      </c>
      <c r="I6">
        <f>(M6/$F6)*100</f>
        <v>1.4583004887277313</v>
      </c>
      <c r="J6">
        <f t="shared" ref="J6:L6" si="1">(N6/$F6)*100</f>
        <v>78.870711505111629</v>
      </c>
      <c r="K6">
        <f t="shared" si="1"/>
        <v>15.213621314835255</v>
      </c>
      <c r="L6">
        <f t="shared" si="1"/>
        <v>4.4573666913253858</v>
      </c>
      <c r="M6">
        <v>2405</v>
      </c>
      <c r="N6">
        <v>130072</v>
      </c>
      <c r="O6">
        <v>25090.000000000004</v>
      </c>
      <c r="P6">
        <v>7351</v>
      </c>
      <c r="Q6" t="s">
        <v>76</v>
      </c>
      <c r="S6">
        <v>42</v>
      </c>
      <c r="T6">
        <v>25</v>
      </c>
      <c r="V6" t="s">
        <v>76</v>
      </c>
      <c r="W6" t="s">
        <v>64</v>
      </c>
      <c r="X6" t="s">
        <v>64</v>
      </c>
      <c r="Z6">
        <v>2405</v>
      </c>
      <c r="AA6">
        <v>2</v>
      </c>
      <c r="AB6">
        <v>3</v>
      </c>
      <c r="AC6">
        <v>30</v>
      </c>
      <c r="AD6">
        <v>12</v>
      </c>
      <c r="AE6">
        <v>3</v>
      </c>
      <c r="AF6">
        <v>50</v>
      </c>
      <c r="AG6">
        <v>48.1</v>
      </c>
      <c r="AH6">
        <v>72.150000000000006</v>
      </c>
      <c r="AI6">
        <v>721.5</v>
      </c>
      <c r="AJ6">
        <v>288.60000000000002</v>
      </c>
      <c r="AK6">
        <v>72.150000000000006</v>
      </c>
      <c r="AL6">
        <v>1202.5</v>
      </c>
      <c r="AM6" s="18" t="s">
        <v>76</v>
      </c>
      <c r="AO6" t="s">
        <v>64</v>
      </c>
      <c r="AP6">
        <v>0</v>
      </c>
      <c r="AQ6">
        <v>0</v>
      </c>
      <c r="AR6">
        <v>0</v>
      </c>
      <c r="AS6">
        <v>100</v>
      </c>
      <c r="AT6">
        <v>0</v>
      </c>
      <c r="AU6">
        <v>0</v>
      </c>
      <c r="AV6">
        <v>0</v>
      </c>
      <c r="AW6">
        <v>0</v>
      </c>
      <c r="AX6">
        <v>25090.000000000004</v>
      </c>
      <c r="AY6">
        <v>0</v>
      </c>
      <c r="AZ6" t="s">
        <v>76</v>
      </c>
      <c r="BA6" t="s">
        <v>64</v>
      </c>
      <c r="BB6">
        <v>9059</v>
      </c>
      <c r="BC6" t="s">
        <v>76</v>
      </c>
      <c r="BD6" s="22"/>
      <c r="BE6" s="22"/>
      <c r="BF6" s="22"/>
      <c r="BG6" s="22"/>
      <c r="BH6" s="22"/>
      <c r="BI6" s="22"/>
      <c r="BJ6" s="22" t="s">
        <v>64</v>
      </c>
      <c r="BK6" s="22" t="s">
        <v>76</v>
      </c>
      <c r="BL6" t="s">
        <v>63</v>
      </c>
      <c r="BN6" s="22" t="s">
        <v>64</v>
      </c>
      <c r="BO6" s="22"/>
      <c r="BX6" t="s">
        <v>77</v>
      </c>
      <c r="BY6" t="s">
        <v>89</v>
      </c>
      <c r="BZ6">
        <v>358.49</v>
      </c>
      <c r="CA6" t="s">
        <v>76</v>
      </c>
      <c r="CB6">
        <v>358.49</v>
      </c>
      <c r="CC6" t="s">
        <v>76</v>
      </c>
      <c r="CE6" t="s">
        <v>76</v>
      </c>
    </row>
    <row r="7" spans="1:83" x14ac:dyDescent="0.25">
      <c r="A7">
        <v>969</v>
      </c>
      <c r="B7" t="s">
        <v>59</v>
      </c>
      <c r="C7" t="s">
        <v>13</v>
      </c>
      <c r="D7" t="s">
        <v>210</v>
      </c>
      <c r="E7">
        <v>1250000</v>
      </c>
      <c r="F7">
        <v>939135</v>
      </c>
      <c r="G7" t="s">
        <v>65</v>
      </c>
      <c r="I7" s="11"/>
      <c r="J7" s="11"/>
      <c r="K7" s="11"/>
      <c r="L7" s="11"/>
      <c r="M7" s="11"/>
      <c r="N7" s="11"/>
      <c r="O7" s="11"/>
      <c r="P7" s="11"/>
      <c r="Q7" s="11" t="s">
        <v>77</v>
      </c>
      <c r="R7" s="11"/>
      <c r="S7">
        <v>33.6</v>
      </c>
      <c r="T7">
        <v>29</v>
      </c>
      <c r="U7">
        <v>29</v>
      </c>
      <c r="V7" t="s">
        <v>76</v>
      </c>
      <c r="W7" t="s">
        <v>64</v>
      </c>
      <c r="X7" t="s">
        <v>64</v>
      </c>
      <c r="Y7" t="s">
        <v>93</v>
      </c>
      <c r="Z7" s="11"/>
      <c r="AA7" s="11"/>
      <c r="AB7" s="11"/>
      <c r="AC7" s="11"/>
      <c r="AD7" s="11"/>
      <c r="AE7" s="11"/>
      <c r="AF7" s="11"/>
      <c r="AG7" s="11"/>
      <c r="AH7" s="11"/>
      <c r="AI7" s="11"/>
      <c r="AJ7" s="11"/>
      <c r="AK7" s="11"/>
      <c r="AL7" s="11"/>
      <c r="AM7" s="11" t="s">
        <v>77</v>
      </c>
      <c r="AO7" t="s">
        <v>64</v>
      </c>
      <c r="AP7" s="11"/>
      <c r="AQ7" s="11"/>
      <c r="AR7" s="11"/>
      <c r="AS7" s="11"/>
      <c r="AT7" s="11"/>
      <c r="AU7" s="11"/>
      <c r="AV7" s="11"/>
      <c r="AW7" s="11"/>
      <c r="AX7" s="11"/>
      <c r="AY7" s="11"/>
      <c r="AZ7" s="11" t="s">
        <v>77</v>
      </c>
      <c r="BB7">
        <v>40000</v>
      </c>
      <c r="BC7" t="s">
        <v>76</v>
      </c>
      <c r="BD7" s="22"/>
      <c r="BE7" s="22"/>
      <c r="BF7" s="22"/>
      <c r="BG7" s="22"/>
      <c r="BH7" s="22"/>
      <c r="BI7" s="22"/>
      <c r="BJ7" s="22" t="s">
        <v>64</v>
      </c>
      <c r="BK7" s="22" t="s">
        <v>76</v>
      </c>
      <c r="BL7" t="s">
        <v>64</v>
      </c>
      <c r="BN7" s="22" t="s">
        <v>64</v>
      </c>
      <c r="BO7" s="22">
        <v>0</v>
      </c>
      <c r="BW7" t="s">
        <v>64</v>
      </c>
      <c r="BX7" t="s">
        <v>65</v>
      </c>
      <c r="BY7" t="s">
        <v>63</v>
      </c>
      <c r="CA7" t="s">
        <v>76</v>
      </c>
      <c r="CC7" t="s">
        <v>77</v>
      </c>
      <c r="CE7" t="s">
        <v>77</v>
      </c>
    </row>
    <row r="8" spans="1:83" x14ac:dyDescent="0.25">
      <c r="A8">
        <v>972</v>
      </c>
      <c r="B8" t="s">
        <v>58</v>
      </c>
      <c r="C8" t="s">
        <v>13</v>
      </c>
      <c r="D8" t="s">
        <v>210</v>
      </c>
      <c r="E8">
        <v>650000</v>
      </c>
      <c r="F8">
        <f>SUM(M8:P8)</f>
        <v>486805.00000000006</v>
      </c>
      <c r="G8" t="s">
        <v>65</v>
      </c>
      <c r="H8">
        <f t="shared" si="0"/>
        <v>0</v>
      </c>
      <c r="I8">
        <f>(M8/$F8)*100</f>
        <v>86.005895584474274</v>
      </c>
      <c r="J8">
        <f t="shared" ref="J8:L8" si="2">(N8/$F8)*100</f>
        <v>13.987120099423791</v>
      </c>
      <c r="K8">
        <f t="shared" si="2"/>
        <v>0</v>
      </c>
      <c r="L8">
        <f t="shared" si="2"/>
        <v>6.9843161019299297E-3</v>
      </c>
      <c r="M8">
        <v>418681.00000000006</v>
      </c>
      <c r="N8">
        <v>68090</v>
      </c>
      <c r="O8">
        <v>0</v>
      </c>
      <c r="P8">
        <v>34</v>
      </c>
      <c r="Q8" t="s">
        <v>76</v>
      </c>
      <c r="S8">
        <v>34</v>
      </c>
      <c r="T8">
        <v>23</v>
      </c>
      <c r="U8">
        <v>23</v>
      </c>
      <c r="V8" t="s">
        <v>76</v>
      </c>
      <c r="W8" t="s">
        <v>89</v>
      </c>
      <c r="X8" t="s">
        <v>89</v>
      </c>
      <c r="AA8" s="11"/>
      <c r="AB8" s="11"/>
      <c r="AC8" s="11"/>
      <c r="AD8" s="11"/>
      <c r="AE8" s="11"/>
      <c r="AF8" s="11"/>
      <c r="AG8" s="11"/>
      <c r="AH8" s="11"/>
      <c r="AI8" s="11"/>
      <c r="AJ8" s="11"/>
      <c r="AK8" s="11"/>
      <c r="AL8" s="11"/>
      <c r="AM8" s="11" t="s">
        <v>77</v>
      </c>
      <c r="AO8" t="s">
        <v>64</v>
      </c>
      <c r="AP8" s="11"/>
      <c r="AQ8" s="11"/>
      <c r="AR8" s="11"/>
      <c r="AS8" s="11"/>
      <c r="AT8" s="11"/>
      <c r="AU8" s="11"/>
      <c r="AV8" s="11"/>
      <c r="AW8" s="11"/>
      <c r="AX8" s="11"/>
      <c r="AY8" s="11"/>
      <c r="AZ8" t="s">
        <v>76</v>
      </c>
      <c r="BB8">
        <v>68090</v>
      </c>
      <c r="BC8" t="s">
        <v>76</v>
      </c>
      <c r="BD8" s="22"/>
      <c r="BE8" s="22"/>
      <c r="BF8" s="22"/>
      <c r="BG8" s="22"/>
      <c r="BH8" s="22"/>
      <c r="BI8" s="22"/>
      <c r="BJ8" s="22"/>
      <c r="BK8" s="22" t="s">
        <v>77</v>
      </c>
      <c r="BL8" t="s">
        <v>158</v>
      </c>
      <c r="BN8" s="22" t="s">
        <v>89</v>
      </c>
      <c r="BO8" s="22">
        <v>0</v>
      </c>
      <c r="BW8" t="s">
        <v>64</v>
      </c>
      <c r="BX8" t="s">
        <v>65</v>
      </c>
      <c r="BY8" t="s">
        <v>63</v>
      </c>
      <c r="CA8" t="s">
        <v>76</v>
      </c>
      <c r="CC8" t="s">
        <v>77</v>
      </c>
      <c r="CE8" t="s">
        <v>77</v>
      </c>
    </row>
    <row r="9" spans="1:83" x14ac:dyDescent="0.25">
      <c r="A9">
        <v>978</v>
      </c>
      <c r="B9" t="s">
        <v>58</v>
      </c>
      <c r="C9" t="s">
        <v>13</v>
      </c>
      <c r="D9" t="s">
        <v>210</v>
      </c>
      <c r="E9">
        <v>300000</v>
      </c>
      <c r="F9">
        <v>320000</v>
      </c>
      <c r="G9" t="s">
        <v>65</v>
      </c>
      <c r="H9">
        <f t="shared" si="0"/>
        <v>0</v>
      </c>
      <c r="I9">
        <v>0</v>
      </c>
      <c r="J9">
        <v>0</v>
      </c>
      <c r="K9">
        <v>100</v>
      </c>
      <c r="L9">
        <v>0</v>
      </c>
      <c r="M9">
        <v>0</v>
      </c>
      <c r="N9">
        <v>0</v>
      </c>
      <c r="O9">
        <v>320000</v>
      </c>
      <c r="P9">
        <v>0</v>
      </c>
      <c r="Q9" t="s">
        <v>76</v>
      </c>
      <c r="R9" t="s">
        <v>64</v>
      </c>
      <c r="S9">
        <v>45.06</v>
      </c>
      <c r="T9">
        <v>27.64</v>
      </c>
      <c r="U9">
        <v>27.62</v>
      </c>
      <c r="V9" t="s">
        <v>76</v>
      </c>
      <c r="W9" t="s">
        <v>89</v>
      </c>
      <c r="X9" t="s">
        <v>89</v>
      </c>
      <c r="Z9">
        <v>0</v>
      </c>
      <c r="AA9" s="12"/>
      <c r="AB9" s="12"/>
      <c r="AC9" s="12"/>
      <c r="AD9" s="12"/>
      <c r="AE9" s="12"/>
      <c r="AF9" s="12"/>
      <c r="AG9" s="12"/>
      <c r="AH9" s="12"/>
      <c r="AI9" s="12"/>
      <c r="AJ9" s="12"/>
      <c r="AK9" s="12"/>
      <c r="AL9" s="12"/>
      <c r="AM9" s="12" t="s">
        <v>118</v>
      </c>
      <c r="AO9" t="s">
        <v>64</v>
      </c>
      <c r="AP9">
        <v>0</v>
      </c>
      <c r="AQ9">
        <v>0</v>
      </c>
      <c r="AR9">
        <v>0</v>
      </c>
      <c r="AS9">
        <v>100</v>
      </c>
      <c r="AT9">
        <v>0</v>
      </c>
      <c r="AU9">
        <v>0</v>
      </c>
      <c r="AV9">
        <v>0</v>
      </c>
      <c r="AW9">
        <v>0</v>
      </c>
      <c r="AX9">
        <v>320000</v>
      </c>
      <c r="AY9">
        <v>0</v>
      </c>
      <c r="AZ9" t="s">
        <v>76</v>
      </c>
      <c r="BB9">
        <v>46269</v>
      </c>
      <c r="BC9" t="s">
        <v>76</v>
      </c>
      <c r="BD9" s="22"/>
      <c r="BE9" s="22"/>
      <c r="BF9" s="22"/>
      <c r="BG9" s="22"/>
      <c r="BH9" s="22"/>
      <c r="BI9" s="22"/>
      <c r="BJ9" s="22" t="s">
        <v>64</v>
      </c>
      <c r="BK9" s="22" t="s">
        <v>76</v>
      </c>
      <c r="BL9" t="s">
        <v>63</v>
      </c>
      <c r="BN9" s="22" t="s">
        <v>77</v>
      </c>
      <c r="BO9" s="22"/>
      <c r="BW9" t="s">
        <v>64</v>
      </c>
      <c r="BX9" t="s">
        <v>65</v>
      </c>
      <c r="BY9" t="s">
        <v>90</v>
      </c>
      <c r="CA9" t="s">
        <v>76</v>
      </c>
      <c r="CC9" t="s">
        <v>77</v>
      </c>
      <c r="CE9" t="s">
        <v>77</v>
      </c>
    </row>
    <row r="10" spans="1:83" x14ac:dyDescent="0.25">
      <c r="A10">
        <v>981</v>
      </c>
      <c r="B10" t="s">
        <v>58</v>
      </c>
      <c r="C10" t="s">
        <v>13</v>
      </c>
      <c r="D10" t="s">
        <v>210</v>
      </c>
      <c r="E10">
        <v>60000</v>
      </c>
      <c r="F10">
        <v>100000</v>
      </c>
      <c r="G10" t="s">
        <v>65</v>
      </c>
      <c r="I10" s="11"/>
      <c r="J10" s="11"/>
      <c r="K10" s="11"/>
      <c r="L10" s="11"/>
      <c r="M10" s="11"/>
      <c r="N10" s="11"/>
      <c r="O10" s="11"/>
      <c r="P10" s="11"/>
      <c r="Q10" s="11" t="s">
        <v>77</v>
      </c>
      <c r="R10" s="11"/>
      <c r="V10" t="s">
        <v>77</v>
      </c>
      <c r="W10" t="s">
        <v>77</v>
      </c>
      <c r="X10" t="s">
        <v>77</v>
      </c>
      <c r="Z10" s="11"/>
      <c r="AA10" s="11"/>
      <c r="AB10" s="11"/>
      <c r="AC10" s="11"/>
      <c r="AD10" s="11"/>
      <c r="AE10" s="11"/>
      <c r="AF10" s="11"/>
      <c r="AG10" s="11"/>
      <c r="AH10" s="11"/>
      <c r="AI10" s="11"/>
      <c r="AJ10" s="11"/>
      <c r="AK10" s="11"/>
      <c r="AL10" s="11"/>
      <c r="AM10" s="11" t="s">
        <v>77</v>
      </c>
      <c r="AO10" t="s">
        <v>77</v>
      </c>
      <c r="AP10" s="11"/>
      <c r="AQ10" s="11"/>
      <c r="AR10" s="11"/>
      <c r="AS10" s="11"/>
      <c r="AT10" s="11"/>
      <c r="AU10" s="11"/>
      <c r="AV10" s="11"/>
      <c r="AW10" s="11"/>
      <c r="AX10" s="11"/>
      <c r="AY10" s="11"/>
      <c r="AZ10" s="11" t="s">
        <v>77</v>
      </c>
      <c r="BC10" t="s">
        <v>77</v>
      </c>
      <c r="BD10" s="25"/>
      <c r="BE10" s="25"/>
      <c r="BF10" s="25"/>
      <c r="BG10" s="25"/>
      <c r="BH10" s="25"/>
      <c r="BI10" s="25"/>
      <c r="BJ10" s="22"/>
      <c r="BK10" s="22" t="s">
        <v>77</v>
      </c>
      <c r="BL10" t="s">
        <v>77</v>
      </c>
      <c r="BN10" s="22" t="s">
        <v>77</v>
      </c>
      <c r="BO10" s="22"/>
      <c r="BX10" t="s">
        <v>77</v>
      </c>
      <c r="BY10" t="s">
        <v>90</v>
      </c>
      <c r="CA10" t="s">
        <v>76</v>
      </c>
      <c r="CC10" t="s">
        <v>77</v>
      </c>
      <c r="CE10" t="s">
        <v>77</v>
      </c>
    </row>
    <row r="11" spans="1:83" x14ac:dyDescent="0.25">
      <c r="A11">
        <v>985</v>
      </c>
      <c r="B11" t="s">
        <v>59</v>
      </c>
      <c r="C11" t="s">
        <v>13</v>
      </c>
      <c r="D11" t="s">
        <v>210</v>
      </c>
      <c r="E11">
        <v>392912</v>
      </c>
      <c r="F11">
        <v>409497.66</v>
      </c>
      <c r="G11" t="s">
        <v>65</v>
      </c>
      <c r="H11">
        <f t="shared" si="0"/>
        <v>0</v>
      </c>
      <c r="I11">
        <v>0</v>
      </c>
      <c r="J11">
        <v>82.68106748887358</v>
      </c>
      <c r="K11">
        <v>17.318932511126409</v>
      </c>
      <c r="L11">
        <v>0</v>
      </c>
      <c r="M11">
        <v>0</v>
      </c>
      <c r="N11">
        <v>338577.03662995808</v>
      </c>
      <c r="O11">
        <v>70920.623370041882</v>
      </c>
      <c r="P11">
        <v>0</v>
      </c>
      <c r="Q11" t="s">
        <v>76</v>
      </c>
      <c r="R11" t="s">
        <v>64</v>
      </c>
      <c r="S11">
        <v>57.56</v>
      </c>
      <c r="T11">
        <v>41.37</v>
      </c>
      <c r="U11">
        <v>48.96</v>
      </c>
      <c r="V11" t="s">
        <v>76</v>
      </c>
      <c r="W11" t="s">
        <v>89</v>
      </c>
      <c r="X11" t="s">
        <v>89</v>
      </c>
      <c r="Z11">
        <v>0</v>
      </c>
      <c r="AA11" s="11"/>
      <c r="AB11" s="11"/>
      <c r="AC11" s="11"/>
      <c r="AD11" s="11"/>
      <c r="AE11" s="11"/>
      <c r="AF11" s="11"/>
      <c r="AG11" s="11"/>
      <c r="AH11" s="11"/>
      <c r="AI11" s="11"/>
      <c r="AJ11" s="11"/>
      <c r="AK11" s="11"/>
      <c r="AL11" s="11"/>
      <c r="AM11" s="11" t="s">
        <v>77</v>
      </c>
      <c r="AO11" t="s">
        <v>64</v>
      </c>
      <c r="AP11">
        <v>0.79327835109241607</v>
      </c>
      <c r="AQ11">
        <v>0</v>
      </c>
      <c r="AR11">
        <v>0</v>
      </c>
      <c r="AS11">
        <v>99.206721648907589</v>
      </c>
      <c r="AT11">
        <v>0</v>
      </c>
      <c r="AU11">
        <v>562.59795165433093</v>
      </c>
      <c r="AV11">
        <v>0</v>
      </c>
      <c r="AW11">
        <v>0</v>
      </c>
      <c r="AX11">
        <v>70358.025418387566</v>
      </c>
      <c r="AY11">
        <v>0</v>
      </c>
      <c r="AZ11" t="s">
        <v>76</v>
      </c>
      <c r="BB11">
        <v>36729</v>
      </c>
      <c r="BC11" t="s">
        <v>76</v>
      </c>
      <c r="BD11" s="22"/>
      <c r="BE11" s="22"/>
      <c r="BF11" s="22"/>
      <c r="BG11" s="22"/>
      <c r="BH11" s="22"/>
      <c r="BI11" s="22"/>
      <c r="BJ11" s="22" t="s">
        <v>64</v>
      </c>
      <c r="BK11" s="22" t="s">
        <v>76</v>
      </c>
      <c r="BL11" t="s">
        <v>63</v>
      </c>
      <c r="BN11" s="22" t="s">
        <v>77</v>
      </c>
      <c r="BO11" s="22"/>
      <c r="BX11" t="s">
        <v>77</v>
      </c>
      <c r="BY11" t="s">
        <v>77</v>
      </c>
      <c r="CA11" t="s">
        <v>201</v>
      </c>
      <c r="CC11" t="s">
        <v>77</v>
      </c>
      <c r="CE11" t="s">
        <v>77</v>
      </c>
    </row>
    <row r="12" spans="1:83" x14ac:dyDescent="0.25">
      <c r="A12">
        <v>1000</v>
      </c>
      <c r="B12" t="s">
        <v>58</v>
      </c>
      <c r="C12" t="s">
        <v>21</v>
      </c>
      <c r="D12" t="s">
        <v>210</v>
      </c>
      <c r="E12">
        <v>44000</v>
      </c>
      <c r="F12">
        <v>22000</v>
      </c>
      <c r="G12" t="s">
        <v>65</v>
      </c>
      <c r="H12">
        <f t="shared" si="0"/>
        <v>0</v>
      </c>
      <c r="I12">
        <v>10</v>
      </c>
      <c r="J12">
        <v>75</v>
      </c>
      <c r="K12">
        <v>0</v>
      </c>
      <c r="L12">
        <v>15</v>
      </c>
      <c r="M12">
        <v>2200</v>
      </c>
      <c r="N12">
        <v>16500</v>
      </c>
      <c r="O12">
        <v>0</v>
      </c>
      <c r="P12">
        <v>3300</v>
      </c>
      <c r="Q12" t="s">
        <v>76</v>
      </c>
      <c r="S12">
        <v>43.5</v>
      </c>
      <c r="V12" t="s">
        <v>76</v>
      </c>
      <c r="W12" t="s">
        <v>89</v>
      </c>
      <c r="X12" t="s">
        <v>89</v>
      </c>
      <c r="Z12">
        <v>2200</v>
      </c>
      <c r="AA12">
        <v>25</v>
      </c>
      <c r="AB12">
        <v>5</v>
      </c>
      <c r="AC12">
        <v>25</v>
      </c>
      <c r="AD12">
        <v>5</v>
      </c>
      <c r="AE12">
        <v>40</v>
      </c>
      <c r="AF12">
        <v>0</v>
      </c>
      <c r="AG12">
        <v>550</v>
      </c>
      <c r="AH12">
        <v>110</v>
      </c>
      <c r="AI12">
        <v>550</v>
      </c>
      <c r="AJ12">
        <v>110</v>
      </c>
      <c r="AK12">
        <v>880</v>
      </c>
      <c r="AL12">
        <v>0</v>
      </c>
      <c r="AM12" s="18" t="s">
        <v>76</v>
      </c>
      <c r="AO12" t="s">
        <v>63</v>
      </c>
      <c r="AP12" s="11"/>
      <c r="AQ12" s="11"/>
      <c r="AR12" s="11"/>
      <c r="AS12" s="11"/>
      <c r="AT12" s="11"/>
      <c r="AU12" s="11"/>
      <c r="AV12" s="11"/>
      <c r="AW12" s="11"/>
      <c r="AX12" s="11"/>
      <c r="AY12" s="11"/>
      <c r="AZ12" s="11" t="s">
        <v>77</v>
      </c>
      <c r="BC12" t="s">
        <v>77</v>
      </c>
      <c r="BD12" s="22"/>
      <c r="BE12" s="22"/>
      <c r="BF12" s="22"/>
      <c r="BG12" s="22"/>
      <c r="BH12" s="22"/>
      <c r="BI12" s="22"/>
      <c r="BJ12" s="22"/>
      <c r="BK12" s="22" t="s">
        <v>77</v>
      </c>
      <c r="BL12" t="s">
        <v>77</v>
      </c>
      <c r="BN12" s="22" t="s">
        <v>77</v>
      </c>
      <c r="BO12" s="22"/>
      <c r="BX12" t="s">
        <v>77</v>
      </c>
      <c r="BY12" t="s">
        <v>90</v>
      </c>
      <c r="CA12" t="s">
        <v>76</v>
      </c>
      <c r="CC12" t="s">
        <v>77</v>
      </c>
      <c r="CE12" t="s">
        <v>77</v>
      </c>
    </row>
    <row r="13" spans="1:83" x14ac:dyDescent="0.25">
      <c r="A13">
        <v>1004</v>
      </c>
      <c r="B13" t="s">
        <v>58</v>
      </c>
      <c r="C13" t="s">
        <v>13</v>
      </c>
      <c r="D13" t="s">
        <v>210</v>
      </c>
      <c r="E13">
        <v>960000</v>
      </c>
      <c r="F13">
        <v>972000</v>
      </c>
      <c r="G13" t="s">
        <v>65</v>
      </c>
      <c r="I13" s="11"/>
      <c r="J13" s="11"/>
      <c r="K13" s="11"/>
      <c r="L13" s="11"/>
      <c r="M13" s="11"/>
      <c r="N13" s="11"/>
      <c r="O13" s="11"/>
      <c r="P13" s="11"/>
      <c r="Q13" s="11" t="s">
        <v>77</v>
      </c>
      <c r="R13" s="11"/>
      <c r="V13" t="s">
        <v>77</v>
      </c>
      <c r="W13" t="s">
        <v>77</v>
      </c>
      <c r="X13" t="s">
        <v>77</v>
      </c>
      <c r="Z13" s="11"/>
      <c r="AA13" s="11"/>
      <c r="AB13" s="11"/>
      <c r="AC13" s="11"/>
      <c r="AD13" s="11"/>
      <c r="AE13" s="11"/>
      <c r="AF13" s="11"/>
      <c r="AG13" s="11"/>
      <c r="AH13" s="11"/>
      <c r="AI13" s="11"/>
      <c r="AJ13" s="11"/>
      <c r="AK13" s="11"/>
      <c r="AL13" s="11"/>
      <c r="AM13" s="11" t="s">
        <v>77</v>
      </c>
      <c r="AO13" t="s">
        <v>77</v>
      </c>
      <c r="AP13" s="11"/>
      <c r="AQ13" s="11"/>
      <c r="AR13" s="11"/>
      <c r="AS13" s="11"/>
      <c r="AT13" s="11"/>
      <c r="AU13" s="11"/>
      <c r="AV13" s="11"/>
      <c r="AW13" s="11"/>
      <c r="AX13" s="11"/>
      <c r="AY13" s="11"/>
      <c r="AZ13" s="11" t="s">
        <v>77</v>
      </c>
      <c r="BC13" t="s">
        <v>77</v>
      </c>
      <c r="BD13" s="25"/>
      <c r="BE13" s="25"/>
      <c r="BF13" s="25"/>
      <c r="BG13" s="25"/>
      <c r="BH13" s="25"/>
      <c r="BI13" s="25"/>
      <c r="BJ13" s="22"/>
      <c r="BK13" s="22" t="s">
        <v>77</v>
      </c>
      <c r="BL13" t="s">
        <v>77</v>
      </c>
      <c r="BN13" s="22" t="s">
        <v>77</v>
      </c>
      <c r="BO13" s="22"/>
      <c r="BX13" t="s">
        <v>77</v>
      </c>
      <c r="BY13" t="s">
        <v>90</v>
      </c>
      <c r="CA13" t="s">
        <v>76</v>
      </c>
      <c r="CC13" t="s">
        <v>77</v>
      </c>
      <c r="CE13" t="s">
        <v>77</v>
      </c>
    </row>
    <row r="14" spans="1:83" x14ac:dyDescent="0.25">
      <c r="A14">
        <v>1005</v>
      </c>
      <c r="B14" t="s">
        <v>59</v>
      </c>
      <c r="C14" t="s">
        <v>21</v>
      </c>
      <c r="D14" t="s">
        <v>210</v>
      </c>
      <c r="E14">
        <v>3000000</v>
      </c>
      <c r="F14">
        <v>1200000</v>
      </c>
      <c r="G14" t="s">
        <v>65</v>
      </c>
      <c r="H14">
        <f t="shared" si="0"/>
        <v>0</v>
      </c>
      <c r="I14">
        <v>1</v>
      </c>
      <c r="J14">
        <v>99</v>
      </c>
      <c r="K14">
        <v>0</v>
      </c>
      <c r="L14">
        <v>0</v>
      </c>
      <c r="M14">
        <v>12000</v>
      </c>
      <c r="N14">
        <v>1188000</v>
      </c>
      <c r="O14">
        <v>0</v>
      </c>
      <c r="P14">
        <v>0</v>
      </c>
      <c r="Q14" t="s">
        <v>76</v>
      </c>
      <c r="V14" t="s">
        <v>77</v>
      </c>
      <c r="W14" t="s">
        <v>89</v>
      </c>
      <c r="X14" t="s">
        <v>89</v>
      </c>
      <c r="AA14" s="11"/>
      <c r="AB14" s="11"/>
      <c r="AC14" s="11"/>
      <c r="AD14" s="11"/>
      <c r="AE14" s="11"/>
      <c r="AF14" s="11"/>
      <c r="AG14" s="11"/>
      <c r="AH14" s="11"/>
      <c r="AI14" s="11"/>
      <c r="AJ14" s="11"/>
      <c r="AK14" s="11"/>
      <c r="AL14" s="11"/>
      <c r="AM14" s="11" t="s">
        <v>77</v>
      </c>
      <c r="AO14" t="s">
        <v>63</v>
      </c>
      <c r="AP14" s="11"/>
      <c r="AQ14" s="11"/>
      <c r="AR14" s="11"/>
      <c r="AS14" s="11"/>
      <c r="AT14" s="11"/>
      <c r="AU14" s="11"/>
      <c r="AV14" s="11"/>
      <c r="AW14" s="11"/>
      <c r="AX14" s="11"/>
      <c r="AY14" s="11"/>
      <c r="AZ14" s="11" t="s">
        <v>77</v>
      </c>
      <c r="BC14" t="s">
        <v>77</v>
      </c>
      <c r="BD14" s="22"/>
      <c r="BE14" s="22"/>
      <c r="BF14" s="22"/>
      <c r="BG14" s="22"/>
      <c r="BH14" s="22"/>
      <c r="BI14" s="22"/>
      <c r="BJ14" s="22"/>
      <c r="BK14" s="22" t="s">
        <v>77</v>
      </c>
      <c r="BL14" t="s">
        <v>77</v>
      </c>
      <c r="BN14" s="22" t="s">
        <v>77</v>
      </c>
      <c r="BO14" s="22"/>
      <c r="BX14" t="s">
        <v>77</v>
      </c>
      <c r="BY14" t="s">
        <v>77</v>
      </c>
      <c r="CA14" t="s">
        <v>201</v>
      </c>
      <c r="CC14" t="s">
        <v>77</v>
      </c>
      <c r="CE14" t="s">
        <v>77</v>
      </c>
    </row>
    <row r="15" spans="1:83" x14ac:dyDescent="0.25">
      <c r="A15">
        <v>1010</v>
      </c>
      <c r="B15" t="s">
        <v>59</v>
      </c>
      <c r="C15" t="s">
        <v>21</v>
      </c>
      <c r="D15" t="s">
        <v>210</v>
      </c>
      <c r="E15">
        <v>600000</v>
      </c>
      <c r="F15">
        <v>630000</v>
      </c>
      <c r="G15" t="s">
        <v>65</v>
      </c>
      <c r="H15">
        <f t="shared" si="0"/>
        <v>0</v>
      </c>
      <c r="I15">
        <v>60</v>
      </c>
      <c r="J15">
        <v>40</v>
      </c>
      <c r="K15">
        <v>0</v>
      </c>
      <c r="L15">
        <v>0</v>
      </c>
      <c r="M15">
        <v>378000</v>
      </c>
      <c r="N15">
        <v>252000</v>
      </c>
      <c r="O15">
        <v>0</v>
      </c>
      <c r="P15">
        <v>0</v>
      </c>
      <c r="Q15" t="s">
        <v>76</v>
      </c>
      <c r="S15">
        <v>61.44</v>
      </c>
      <c r="V15" t="s">
        <v>76</v>
      </c>
      <c r="W15" t="s">
        <v>64</v>
      </c>
      <c r="X15" t="s">
        <v>64</v>
      </c>
      <c r="Z15">
        <v>378000</v>
      </c>
      <c r="AA15">
        <v>1</v>
      </c>
      <c r="AB15">
        <v>2</v>
      </c>
      <c r="AC15">
        <v>60</v>
      </c>
      <c r="AD15">
        <v>25</v>
      </c>
      <c r="AE15">
        <v>10</v>
      </c>
      <c r="AF15">
        <v>2</v>
      </c>
      <c r="AG15">
        <v>3780</v>
      </c>
      <c r="AH15">
        <v>7560</v>
      </c>
      <c r="AI15">
        <v>226800</v>
      </c>
      <c r="AJ15">
        <v>94500</v>
      </c>
      <c r="AK15">
        <v>37800</v>
      </c>
      <c r="AL15">
        <v>7560</v>
      </c>
      <c r="AM15" s="18" t="s">
        <v>76</v>
      </c>
      <c r="AO15" t="s">
        <v>63</v>
      </c>
      <c r="AP15" s="11"/>
      <c r="AQ15" s="11"/>
      <c r="AR15" s="11"/>
      <c r="AS15" s="11"/>
      <c r="AT15" s="11"/>
      <c r="AU15" s="11"/>
      <c r="AV15" s="11"/>
      <c r="AW15" s="11"/>
      <c r="AX15" s="11"/>
      <c r="AY15" s="11"/>
      <c r="AZ15" s="11" t="s">
        <v>77</v>
      </c>
      <c r="BC15" t="s">
        <v>77</v>
      </c>
      <c r="BD15" s="22"/>
      <c r="BE15" s="22"/>
      <c r="BF15" s="22"/>
      <c r="BG15" s="22"/>
      <c r="BH15" s="22"/>
      <c r="BI15" s="22"/>
      <c r="BJ15" s="22"/>
      <c r="BK15" s="22" t="s">
        <v>77</v>
      </c>
      <c r="BL15" t="s">
        <v>77</v>
      </c>
      <c r="BN15" s="22" t="s">
        <v>77</v>
      </c>
      <c r="BO15" s="22"/>
      <c r="BX15" t="s">
        <v>77</v>
      </c>
      <c r="BY15" t="s">
        <v>77</v>
      </c>
      <c r="CA15" t="s">
        <v>201</v>
      </c>
      <c r="CC15" t="s">
        <v>77</v>
      </c>
      <c r="CE15" t="s">
        <v>77</v>
      </c>
    </row>
    <row r="16" spans="1:83" x14ac:dyDescent="0.25">
      <c r="A16">
        <v>1115</v>
      </c>
      <c r="B16" t="s">
        <v>59</v>
      </c>
      <c r="C16" t="s">
        <v>24</v>
      </c>
      <c r="D16" t="s">
        <v>210</v>
      </c>
      <c r="E16">
        <v>64820</v>
      </c>
      <c r="F16">
        <v>58640</v>
      </c>
      <c r="G16" t="s">
        <v>65</v>
      </c>
      <c r="H16">
        <f t="shared" si="0"/>
        <v>0</v>
      </c>
      <c r="I16">
        <v>10</v>
      </c>
      <c r="J16">
        <v>85</v>
      </c>
      <c r="K16">
        <v>0</v>
      </c>
      <c r="L16">
        <v>5</v>
      </c>
      <c r="M16">
        <v>5864</v>
      </c>
      <c r="N16">
        <v>49844</v>
      </c>
      <c r="O16">
        <v>0</v>
      </c>
      <c r="P16">
        <v>2932</v>
      </c>
      <c r="Q16" t="s">
        <v>76</v>
      </c>
      <c r="S16">
        <v>26</v>
      </c>
      <c r="V16" t="s">
        <v>76</v>
      </c>
      <c r="W16" t="s">
        <v>64</v>
      </c>
      <c r="X16" t="s">
        <v>64</v>
      </c>
      <c r="Z16">
        <v>5864</v>
      </c>
      <c r="AA16">
        <v>25</v>
      </c>
      <c r="AB16">
        <v>10</v>
      </c>
      <c r="AC16">
        <v>20</v>
      </c>
      <c r="AD16">
        <v>5</v>
      </c>
      <c r="AE16">
        <v>20</v>
      </c>
      <c r="AF16">
        <v>20</v>
      </c>
      <c r="AG16">
        <v>1466</v>
      </c>
      <c r="AH16">
        <v>586.4</v>
      </c>
      <c r="AI16">
        <v>1172.8</v>
      </c>
      <c r="AJ16">
        <v>293.2</v>
      </c>
      <c r="AK16">
        <v>1172.8</v>
      </c>
      <c r="AL16">
        <v>1172.8</v>
      </c>
      <c r="AM16" s="18" t="s">
        <v>76</v>
      </c>
      <c r="AO16" t="s">
        <v>63</v>
      </c>
      <c r="AP16" s="11"/>
      <c r="AQ16" s="11"/>
      <c r="AR16" s="11"/>
      <c r="AS16" s="11"/>
      <c r="AT16" s="11"/>
      <c r="AU16" s="11"/>
      <c r="AV16" s="11"/>
      <c r="AW16" s="11"/>
      <c r="AX16" s="11"/>
      <c r="AY16" s="11"/>
      <c r="AZ16" s="11" t="s">
        <v>77</v>
      </c>
      <c r="BC16" t="s">
        <v>77</v>
      </c>
      <c r="BD16" s="22"/>
      <c r="BE16" s="22"/>
      <c r="BF16" s="22"/>
      <c r="BG16" s="22"/>
      <c r="BH16" s="22"/>
      <c r="BI16" s="22"/>
      <c r="BJ16" s="22"/>
      <c r="BK16" s="22" t="s">
        <v>77</v>
      </c>
      <c r="BL16" t="s">
        <v>77</v>
      </c>
      <c r="BN16" s="22" t="s">
        <v>77</v>
      </c>
      <c r="BO16" s="22"/>
      <c r="BX16" t="s">
        <v>77</v>
      </c>
      <c r="BY16" t="s">
        <v>90</v>
      </c>
      <c r="CA16" t="s">
        <v>76</v>
      </c>
      <c r="CC16" t="s">
        <v>77</v>
      </c>
      <c r="CE16" t="s">
        <v>77</v>
      </c>
    </row>
    <row r="17" spans="1:83" x14ac:dyDescent="0.25">
      <c r="A17">
        <v>1134</v>
      </c>
      <c r="B17" t="s">
        <v>58</v>
      </c>
      <c r="C17" t="s">
        <v>25</v>
      </c>
      <c r="D17" t="s">
        <v>210</v>
      </c>
      <c r="E17">
        <v>400000</v>
      </c>
      <c r="F17">
        <v>320000</v>
      </c>
      <c r="G17" t="s">
        <v>65</v>
      </c>
      <c r="H17">
        <f t="shared" si="0"/>
        <v>0</v>
      </c>
      <c r="I17">
        <v>8</v>
      </c>
      <c r="J17">
        <v>92</v>
      </c>
      <c r="K17">
        <v>0</v>
      </c>
      <c r="L17">
        <v>0</v>
      </c>
      <c r="M17">
        <v>25600</v>
      </c>
      <c r="N17">
        <v>294400</v>
      </c>
      <c r="O17">
        <v>0</v>
      </c>
      <c r="P17">
        <v>0</v>
      </c>
      <c r="Q17" t="s">
        <v>76</v>
      </c>
      <c r="S17">
        <v>35</v>
      </c>
      <c r="V17" t="s">
        <v>76</v>
      </c>
      <c r="W17" t="s">
        <v>89</v>
      </c>
      <c r="X17" t="s">
        <v>89</v>
      </c>
      <c r="Z17">
        <v>25600</v>
      </c>
      <c r="AA17">
        <v>5</v>
      </c>
      <c r="AB17">
        <v>5</v>
      </c>
      <c r="AC17">
        <v>50</v>
      </c>
      <c r="AD17">
        <v>5</v>
      </c>
      <c r="AE17">
        <v>25</v>
      </c>
      <c r="AF17">
        <v>10</v>
      </c>
      <c r="AG17">
        <v>1280</v>
      </c>
      <c r="AH17">
        <v>1280</v>
      </c>
      <c r="AI17">
        <v>12800</v>
      </c>
      <c r="AJ17">
        <v>1280</v>
      </c>
      <c r="AK17">
        <v>6400</v>
      </c>
      <c r="AL17">
        <v>2560</v>
      </c>
      <c r="AM17" s="18" t="s">
        <v>76</v>
      </c>
      <c r="AN17" t="s">
        <v>64</v>
      </c>
      <c r="AO17" t="s">
        <v>63</v>
      </c>
      <c r="AP17" s="11"/>
      <c r="AQ17" s="11"/>
      <c r="AR17" s="11"/>
      <c r="AS17" s="11"/>
      <c r="AT17" s="11"/>
      <c r="AU17" s="11"/>
      <c r="AV17" s="11"/>
      <c r="AW17" s="11"/>
      <c r="AX17" s="11"/>
      <c r="AY17" s="11"/>
      <c r="AZ17" s="11" t="s">
        <v>77</v>
      </c>
      <c r="BC17" t="s">
        <v>77</v>
      </c>
      <c r="BD17" s="22"/>
      <c r="BE17" s="22"/>
      <c r="BF17" s="22"/>
      <c r="BG17" s="22"/>
      <c r="BH17" s="22"/>
      <c r="BI17" s="22"/>
      <c r="BJ17" s="22"/>
      <c r="BK17" s="22" t="s">
        <v>77</v>
      </c>
      <c r="BL17" t="s">
        <v>77</v>
      </c>
      <c r="BN17" s="22" t="s">
        <v>77</v>
      </c>
      <c r="BO17" s="22"/>
      <c r="BX17" t="s">
        <v>77</v>
      </c>
      <c r="BY17" t="s">
        <v>63</v>
      </c>
      <c r="CA17" t="s">
        <v>76</v>
      </c>
      <c r="CC17" t="s">
        <v>77</v>
      </c>
      <c r="CE17" t="s">
        <v>77</v>
      </c>
    </row>
    <row r="18" spans="1:83" x14ac:dyDescent="0.25">
      <c r="A18">
        <v>1184</v>
      </c>
      <c r="B18" t="s">
        <v>58</v>
      </c>
      <c r="C18" t="s">
        <v>27</v>
      </c>
      <c r="D18" t="s">
        <v>210</v>
      </c>
      <c r="E18">
        <v>570500</v>
      </c>
      <c r="F18">
        <v>175544</v>
      </c>
      <c r="G18" t="s">
        <v>65</v>
      </c>
      <c r="H18">
        <f t="shared" si="0"/>
        <v>0</v>
      </c>
      <c r="I18">
        <v>0</v>
      </c>
      <c r="J18">
        <v>77.813584526587519</v>
      </c>
      <c r="K18">
        <v>7.2145176024422346</v>
      </c>
      <c r="L18">
        <v>14.971897870970253</v>
      </c>
      <c r="M18">
        <v>0</v>
      </c>
      <c r="N18">
        <v>136597.0788213528</v>
      </c>
      <c r="O18">
        <v>12664.652780031196</v>
      </c>
      <c r="P18">
        <v>26282.268398616023</v>
      </c>
      <c r="Q18" t="s">
        <v>76</v>
      </c>
      <c r="R18" t="s">
        <v>64</v>
      </c>
      <c r="S18">
        <v>75</v>
      </c>
      <c r="T18">
        <v>75</v>
      </c>
      <c r="U18">
        <v>75</v>
      </c>
      <c r="V18" t="s">
        <v>76</v>
      </c>
      <c r="W18" t="s">
        <v>89</v>
      </c>
      <c r="X18" t="s">
        <v>90</v>
      </c>
      <c r="Y18" t="s">
        <v>95</v>
      </c>
      <c r="Z18">
        <v>0</v>
      </c>
      <c r="AA18" s="11"/>
      <c r="AB18" s="11"/>
      <c r="AC18" s="11"/>
      <c r="AD18" s="11"/>
      <c r="AE18" s="11"/>
      <c r="AF18" s="11"/>
      <c r="AG18" s="11"/>
      <c r="AH18" s="11"/>
      <c r="AI18" s="11"/>
      <c r="AJ18" s="11"/>
      <c r="AK18" s="11"/>
      <c r="AL18" s="11"/>
      <c r="AM18" s="11" t="s">
        <v>77</v>
      </c>
      <c r="AO18" t="s">
        <v>64</v>
      </c>
      <c r="AP18">
        <v>3</v>
      </c>
      <c r="AQ18">
        <v>1</v>
      </c>
      <c r="AR18">
        <v>0</v>
      </c>
      <c r="AS18">
        <v>96</v>
      </c>
      <c r="AT18">
        <v>0</v>
      </c>
      <c r="AU18">
        <v>379.93958340093587</v>
      </c>
      <c r="AV18">
        <v>126.64652780031196</v>
      </c>
      <c r="AW18">
        <v>0</v>
      </c>
      <c r="AX18">
        <v>12158.066668829948</v>
      </c>
      <c r="AY18">
        <v>0</v>
      </c>
      <c r="AZ18" t="s">
        <v>76</v>
      </c>
      <c r="BA18" t="s">
        <v>64</v>
      </c>
      <c r="BB18">
        <v>4380.38</v>
      </c>
      <c r="BC18" t="s">
        <v>76</v>
      </c>
      <c r="BD18" s="22"/>
      <c r="BE18" s="22"/>
      <c r="BF18" s="22"/>
      <c r="BG18" s="22"/>
      <c r="BH18" s="22"/>
      <c r="BI18" s="22"/>
      <c r="BJ18" s="22" t="s">
        <v>64</v>
      </c>
      <c r="BK18" s="22" t="s">
        <v>76</v>
      </c>
      <c r="BL18" t="s">
        <v>63</v>
      </c>
      <c r="BN18" s="22" t="s">
        <v>77</v>
      </c>
      <c r="BO18" s="22"/>
      <c r="BX18" t="s">
        <v>77</v>
      </c>
      <c r="BY18" t="s">
        <v>89</v>
      </c>
      <c r="CA18" t="s">
        <v>76</v>
      </c>
      <c r="CC18" t="s">
        <v>77</v>
      </c>
      <c r="CE18" t="s">
        <v>77</v>
      </c>
    </row>
    <row r="19" spans="1:83" x14ac:dyDescent="0.25">
      <c r="A19">
        <v>1186</v>
      </c>
      <c r="B19" t="s">
        <v>59</v>
      </c>
      <c r="C19" t="s">
        <v>27</v>
      </c>
      <c r="D19" t="s">
        <v>210</v>
      </c>
      <c r="E19">
        <v>835000</v>
      </c>
      <c r="F19">
        <v>738141</v>
      </c>
      <c r="G19" t="s">
        <v>65</v>
      </c>
      <c r="H19">
        <f t="shared" si="0"/>
        <v>0</v>
      </c>
      <c r="I19">
        <v>5</v>
      </c>
      <c r="J19">
        <v>82.4</v>
      </c>
      <c r="K19">
        <v>2.9</v>
      </c>
      <c r="L19">
        <v>9.6999999999999993</v>
      </c>
      <c r="M19">
        <v>36907.050000000003</v>
      </c>
      <c r="N19">
        <v>608228.18400000012</v>
      </c>
      <c r="O19">
        <v>21406.089</v>
      </c>
      <c r="P19">
        <v>71599.676999999996</v>
      </c>
      <c r="Q19" t="s">
        <v>76</v>
      </c>
      <c r="S19">
        <v>100</v>
      </c>
      <c r="T19">
        <v>0</v>
      </c>
      <c r="U19">
        <v>0</v>
      </c>
      <c r="V19" t="s">
        <v>76</v>
      </c>
      <c r="W19" t="s">
        <v>89</v>
      </c>
      <c r="X19" t="s">
        <v>89</v>
      </c>
      <c r="AA19" s="11"/>
      <c r="AB19" s="11"/>
      <c r="AC19" s="11"/>
      <c r="AD19" s="11"/>
      <c r="AE19" s="11"/>
      <c r="AF19" s="11"/>
      <c r="AG19" s="11"/>
      <c r="AH19" s="11"/>
      <c r="AI19" s="11"/>
      <c r="AJ19" s="11"/>
      <c r="AK19" s="11"/>
      <c r="AL19" s="11"/>
      <c r="AM19" s="11" t="s">
        <v>77</v>
      </c>
      <c r="AO19" t="s">
        <v>64</v>
      </c>
      <c r="AP19">
        <v>0</v>
      </c>
      <c r="AQ19">
        <v>0</v>
      </c>
      <c r="AR19">
        <v>0</v>
      </c>
      <c r="AS19">
        <v>100</v>
      </c>
      <c r="AT19">
        <v>0</v>
      </c>
      <c r="AU19">
        <v>0</v>
      </c>
      <c r="AV19">
        <v>0</v>
      </c>
      <c r="AW19">
        <v>0</v>
      </c>
      <c r="AX19">
        <v>21406.089</v>
      </c>
      <c r="AY19">
        <v>0</v>
      </c>
      <c r="AZ19" t="s">
        <v>76</v>
      </c>
      <c r="BB19">
        <v>0</v>
      </c>
      <c r="BC19" t="s">
        <v>118</v>
      </c>
      <c r="BD19" s="22"/>
      <c r="BE19" s="22"/>
      <c r="BF19" s="22"/>
      <c r="BG19" s="22"/>
      <c r="BH19" s="22"/>
      <c r="BI19" s="22"/>
      <c r="BJ19" s="22" t="s">
        <v>64</v>
      </c>
      <c r="BK19" s="22" t="s">
        <v>76</v>
      </c>
      <c r="BL19" t="s">
        <v>63</v>
      </c>
      <c r="BN19" s="22" t="s">
        <v>77</v>
      </c>
      <c r="BO19" s="22"/>
      <c r="BX19" t="s">
        <v>77</v>
      </c>
      <c r="BY19" t="s">
        <v>90</v>
      </c>
      <c r="CA19" t="s">
        <v>76</v>
      </c>
      <c r="CC19" t="s">
        <v>77</v>
      </c>
      <c r="CE19" t="s">
        <v>77</v>
      </c>
    </row>
    <row r="20" spans="1:83" x14ac:dyDescent="0.25">
      <c r="A20">
        <v>1190</v>
      </c>
      <c r="B20" t="s">
        <v>58</v>
      </c>
      <c r="C20" t="s">
        <v>27</v>
      </c>
      <c r="D20" t="s">
        <v>210</v>
      </c>
      <c r="E20">
        <v>100000</v>
      </c>
      <c r="F20">
        <v>103736</v>
      </c>
      <c r="G20" t="s">
        <v>65</v>
      </c>
      <c r="H20">
        <f t="shared" si="0"/>
        <v>0</v>
      </c>
      <c r="I20">
        <v>4.2482841058070484</v>
      </c>
      <c r="J20">
        <v>82.488239376879761</v>
      </c>
      <c r="K20">
        <v>9.2542608159173287</v>
      </c>
      <c r="L20">
        <v>4.0092157013958509</v>
      </c>
      <c r="M20">
        <v>4407</v>
      </c>
      <c r="N20">
        <v>85569.999999999985</v>
      </c>
      <c r="O20">
        <v>9600</v>
      </c>
      <c r="P20">
        <v>4159</v>
      </c>
      <c r="Q20" t="s">
        <v>76</v>
      </c>
      <c r="S20">
        <v>79</v>
      </c>
      <c r="T20">
        <v>25</v>
      </c>
      <c r="U20">
        <v>25</v>
      </c>
      <c r="V20" t="s">
        <v>76</v>
      </c>
      <c r="W20" t="s">
        <v>89</v>
      </c>
      <c r="X20" t="s">
        <v>89</v>
      </c>
      <c r="AA20" s="11"/>
      <c r="AB20" s="11"/>
      <c r="AC20" s="11"/>
      <c r="AD20" s="11"/>
      <c r="AE20" s="11"/>
      <c r="AF20" s="11"/>
      <c r="AG20" s="11"/>
      <c r="AH20" s="11"/>
      <c r="AI20" s="11"/>
      <c r="AJ20" s="11"/>
      <c r="AK20" s="11"/>
      <c r="AL20" s="11"/>
      <c r="AM20" s="11" t="s">
        <v>77</v>
      </c>
      <c r="AO20" t="s">
        <v>64</v>
      </c>
      <c r="AP20">
        <v>0.8</v>
      </c>
      <c r="AQ20">
        <v>0.1</v>
      </c>
      <c r="AR20">
        <v>0.1</v>
      </c>
      <c r="AS20">
        <v>99</v>
      </c>
      <c r="AT20">
        <v>0</v>
      </c>
      <c r="AU20">
        <v>76.8</v>
      </c>
      <c r="AV20">
        <v>9.6</v>
      </c>
      <c r="AW20">
        <v>9.6</v>
      </c>
      <c r="AX20">
        <v>9504</v>
      </c>
      <c r="AY20">
        <v>0</v>
      </c>
      <c r="AZ20" t="s">
        <v>76</v>
      </c>
      <c r="BB20">
        <v>9500</v>
      </c>
      <c r="BC20" t="s">
        <v>76</v>
      </c>
      <c r="BD20" s="22">
        <v>25</v>
      </c>
      <c r="BE20" s="22">
        <v>10</v>
      </c>
      <c r="BF20" s="22">
        <v>5</v>
      </c>
      <c r="BG20" s="22">
        <v>90</v>
      </c>
      <c r="BH20" s="22">
        <v>0</v>
      </c>
      <c r="BI20" s="22">
        <v>0</v>
      </c>
      <c r="BJ20" s="22"/>
      <c r="BK20" s="22" t="s">
        <v>76</v>
      </c>
      <c r="BL20" t="s">
        <v>63</v>
      </c>
      <c r="BN20" s="22" t="s">
        <v>77</v>
      </c>
      <c r="BO20" s="22"/>
      <c r="BX20" t="s">
        <v>77</v>
      </c>
      <c r="BY20" t="s">
        <v>89</v>
      </c>
      <c r="BZ20">
        <v>219209</v>
      </c>
      <c r="CA20" t="s">
        <v>76</v>
      </c>
      <c r="CB20">
        <v>219209</v>
      </c>
      <c r="CC20" t="s">
        <v>76</v>
      </c>
      <c r="CE20" t="s">
        <v>77</v>
      </c>
    </row>
    <row r="21" spans="1:83" x14ac:dyDescent="0.25">
      <c r="A21">
        <v>1192</v>
      </c>
      <c r="B21" t="s">
        <v>58</v>
      </c>
      <c r="C21" t="s">
        <v>27</v>
      </c>
      <c r="D21" t="s">
        <v>210</v>
      </c>
      <c r="E21">
        <v>30000</v>
      </c>
      <c r="F21">
        <v>30000</v>
      </c>
      <c r="G21" t="s">
        <v>65</v>
      </c>
      <c r="I21" s="11"/>
      <c r="J21" s="11"/>
      <c r="K21" s="11"/>
      <c r="L21" s="11"/>
      <c r="M21" s="11"/>
      <c r="N21" s="11"/>
      <c r="O21" s="11"/>
      <c r="P21" s="11"/>
      <c r="Q21" s="11" t="s">
        <v>77</v>
      </c>
      <c r="R21" s="11"/>
      <c r="V21" t="s">
        <v>77</v>
      </c>
      <c r="W21" t="s">
        <v>77</v>
      </c>
      <c r="X21" t="s">
        <v>77</v>
      </c>
      <c r="Z21" s="11"/>
      <c r="AA21" s="11"/>
      <c r="AB21" s="11"/>
      <c r="AC21" s="11"/>
      <c r="AD21" s="11"/>
      <c r="AE21" s="11"/>
      <c r="AF21" s="11"/>
      <c r="AG21" s="11"/>
      <c r="AH21" s="11"/>
      <c r="AI21" s="11"/>
      <c r="AJ21" s="11"/>
      <c r="AK21" s="11"/>
      <c r="AL21" s="11"/>
      <c r="AM21" s="11" t="s">
        <v>77</v>
      </c>
      <c r="AO21" t="s">
        <v>77</v>
      </c>
      <c r="AP21" s="11"/>
      <c r="AQ21" s="11"/>
      <c r="AR21" s="11"/>
      <c r="AS21" s="11"/>
      <c r="AT21" s="11"/>
      <c r="AU21" s="11"/>
      <c r="AV21" s="11"/>
      <c r="AW21" s="11"/>
      <c r="AX21" s="11"/>
      <c r="AY21" s="11"/>
      <c r="AZ21" s="11" t="s">
        <v>77</v>
      </c>
      <c r="BC21" t="s">
        <v>77</v>
      </c>
      <c r="BD21" s="25"/>
      <c r="BE21" s="25"/>
      <c r="BF21" s="25"/>
      <c r="BG21" s="25"/>
      <c r="BH21" s="25"/>
      <c r="BI21" s="25"/>
      <c r="BJ21" s="22"/>
      <c r="BK21" s="22" t="s">
        <v>77</v>
      </c>
      <c r="BL21" t="s">
        <v>77</v>
      </c>
      <c r="BN21" s="22" t="s">
        <v>77</v>
      </c>
      <c r="BO21" s="22"/>
      <c r="BX21" t="s">
        <v>77</v>
      </c>
      <c r="BY21" t="s">
        <v>90</v>
      </c>
      <c r="CA21" t="s">
        <v>76</v>
      </c>
      <c r="CC21" t="s">
        <v>77</v>
      </c>
      <c r="CE21" t="s">
        <v>77</v>
      </c>
    </row>
    <row r="22" spans="1:83" x14ac:dyDescent="0.25">
      <c r="A22">
        <v>1194</v>
      </c>
      <c r="B22" t="s">
        <v>59</v>
      </c>
      <c r="C22" t="s">
        <v>27</v>
      </c>
      <c r="D22" t="s">
        <v>210</v>
      </c>
      <c r="E22">
        <v>270000</v>
      </c>
      <c r="F22">
        <v>90000</v>
      </c>
      <c r="G22" t="s">
        <v>65</v>
      </c>
      <c r="H22">
        <f t="shared" si="0"/>
        <v>0</v>
      </c>
      <c r="I22">
        <v>3.3333333333333335</v>
      </c>
      <c r="J22">
        <v>53.333333333333336</v>
      </c>
      <c r="K22">
        <v>18.888888888888889</v>
      </c>
      <c r="L22">
        <v>24.444444444444443</v>
      </c>
      <c r="M22">
        <v>3000</v>
      </c>
      <c r="N22">
        <v>48000</v>
      </c>
      <c r="O22">
        <v>17000</v>
      </c>
      <c r="P22">
        <v>22000</v>
      </c>
      <c r="Q22" t="s">
        <v>76</v>
      </c>
      <c r="S22">
        <v>80</v>
      </c>
      <c r="T22">
        <v>30</v>
      </c>
      <c r="U22">
        <v>30</v>
      </c>
      <c r="V22" t="s">
        <v>76</v>
      </c>
      <c r="W22" t="s">
        <v>64</v>
      </c>
      <c r="X22" t="s">
        <v>64</v>
      </c>
      <c r="Z22">
        <v>3000</v>
      </c>
      <c r="AA22">
        <v>5</v>
      </c>
      <c r="AB22">
        <v>5</v>
      </c>
      <c r="AC22">
        <v>30</v>
      </c>
      <c r="AD22">
        <v>30</v>
      </c>
      <c r="AE22">
        <v>0</v>
      </c>
      <c r="AF22">
        <v>30</v>
      </c>
      <c r="AG22">
        <v>150</v>
      </c>
      <c r="AH22">
        <v>150</v>
      </c>
      <c r="AI22">
        <v>900</v>
      </c>
      <c r="AJ22">
        <v>900</v>
      </c>
      <c r="AK22">
        <v>0</v>
      </c>
      <c r="AL22">
        <v>900</v>
      </c>
      <c r="AM22" s="18" t="s">
        <v>76</v>
      </c>
      <c r="AO22" t="s">
        <v>64</v>
      </c>
      <c r="AP22">
        <v>15</v>
      </c>
      <c r="AQ22">
        <v>0</v>
      </c>
      <c r="AR22">
        <v>0</v>
      </c>
      <c r="AS22">
        <v>85</v>
      </c>
      <c r="AT22">
        <v>0</v>
      </c>
      <c r="AU22">
        <v>2550</v>
      </c>
      <c r="AV22">
        <v>0</v>
      </c>
      <c r="AW22">
        <v>0</v>
      </c>
      <c r="AX22">
        <v>14450</v>
      </c>
      <c r="AY22">
        <v>0</v>
      </c>
      <c r="AZ22" t="s">
        <v>76</v>
      </c>
      <c r="BB22">
        <v>0</v>
      </c>
      <c r="BC22" t="s">
        <v>118</v>
      </c>
      <c r="BD22" s="22">
        <v>91.199999999999989</v>
      </c>
      <c r="BE22" s="22"/>
      <c r="BF22" s="22">
        <v>159.6</v>
      </c>
      <c r="BG22" s="22"/>
      <c r="BH22" s="22"/>
      <c r="BI22" s="22"/>
      <c r="BJ22" s="22"/>
      <c r="BK22" s="22" t="s">
        <v>118</v>
      </c>
      <c r="BL22" t="s">
        <v>63</v>
      </c>
      <c r="BN22" s="22" t="s">
        <v>89</v>
      </c>
      <c r="BO22" s="22"/>
      <c r="BX22" t="s">
        <v>77</v>
      </c>
      <c r="BY22" t="s">
        <v>77</v>
      </c>
      <c r="CA22" t="s">
        <v>201</v>
      </c>
      <c r="CC22" t="s">
        <v>77</v>
      </c>
      <c r="CE22" t="s">
        <v>77</v>
      </c>
    </row>
    <row r="23" spans="1:83" x14ac:dyDescent="0.25">
      <c r="A23">
        <v>1196</v>
      </c>
      <c r="B23" t="s">
        <v>59</v>
      </c>
      <c r="C23" t="s">
        <v>27</v>
      </c>
      <c r="D23" t="s">
        <v>210</v>
      </c>
      <c r="E23">
        <v>150000</v>
      </c>
      <c r="F23">
        <v>99000</v>
      </c>
      <c r="G23" t="s">
        <v>65</v>
      </c>
      <c r="H23">
        <f t="shared" si="0"/>
        <v>0</v>
      </c>
      <c r="I23">
        <v>0</v>
      </c>
      <c r="J23">
        <v>93.548387096774192</v>
      </c>
      <c r="K23">
        <v>4.838709677419355</v>
      </c>
      <c r="L23">
        <v>1.6129032258064515</v>
      </c>
      <c r="M23">
        <v>0</v>
      </c>
      <c r="N23">
        <v>92612.903225806454</v>
      </c>
      <c r="O23">
        <v>4790.322580645161</v>
      </c>
      <c r="P23">
        <v>1596.7741935483871</v>
      </c>
      <c r="Q23" t="s">
        <v>76</v>
      </c>
      <c r="R23" t="s">
        <v>64</v>
      </c>
      <c r="S23">
        <v>52</v>
      </c>
      <c r="T23">
        <v>63</v>
      </c>
      <c r="U23">
        <v>75</v>
      </c>
      <c r="V23" t="s">
        <v>76</v>
      </c>
      <c r="W23" t="s">
        <v>64</v>
      </c>
      <c r="X23" t="s">
        <v>64</v>
      </c>
      <c r="Z23">
        <v>0</v>
      </c>
      <c r="AA23" s="11"/>
      <c r="AB23" s="11"/>
      <c r="AC23" s="11"/>
      <c r="AD23" s="11"/>
      <c r="AE23" s="11"/>
      <c r="AF23" s="11"/>
      <c r="AG23" s="11"/>
      <c r="AH23" s="11"/>
      <c r="AI23" s="11"/>
      <c r="AJ23" s="11"/>
      <c r="AK23" s="11"/>
      <c r="AL23" s="11"/>
      <c r="AM23" s="11" t="s">
        <v>77</v>
      </c>
      <c r="AO23" t="s">
        <v>64</v>
      </c>
      <c r="AP23">
        <v>0</v>
      </c>
      <c r="AQ23">
        <v>0</v>
      </c>
      <c r="AR23">
        <v>0</v>
      </c>
      <c r="AS23">
        <v>0</v>
      </c>
      <c r="AT23">
        <v>100</v>
      </c>
      <c r="AU23">
        <v>0</v>
      </c>
      <c r="AV23">
        <v>0</v>
      </c>
      <c r="AW23">
        <v>0</v>
      </c>
      <c r="AX23">
        <v>0</v>
      </c>
      <c r="AY23">
        <v>4790.322580645161</v>
      </c>
      <c r="AZ23" t="s">
        <v>76</v>
      </c>
      <c r="BB23">
        <v>0</v>
      </c>
      <c r="BC23" t="s">
        <v>118</v>
      </c>
      <c r="BD23" s="22">
        <v>20</v>
      </c>
      <c r="BE23" s="22">
        <v>667</v>
      </c>
      <c r="BF23" s="22">
        <v>20</v>
      </c>
      <c r="BG23" s="22">
        <v>667</v>
      </c>
      <c r="BH23" s="22">
        <v>20</v>
      </c>
      <c r="BI23" s="22">
        <v>667</v>
      </c>
      <c r="BJ23" s="22"/>
      <c r="BK23" s="22" t="s">
        <v>76</v>
      </c>
      <c r="BL23" t="s">
        <v>159</v>
      </c>
      <c r="BN23" s="22" t="s">
        <v>89</v>
      </c>
      <c r="BO23" s="22">
        <v>0</v>
      </c>
      <c r="BX23" t="s">
        <v>77</v>
      </c>
      <c r="BY23" t="s">
        <v>77</v>
      </c>
      <c r="CA23" t="s">
        <v>201</v>
      </c>
      <c r="CC23" t="s">
        <v>77</v>
      </c>
      <c r="CE23" t="s">
        <v>77</v>
      </c>
    </row>
    <row r="24" spans="1:83" x14ac:dyDescent="0.25">
      <c r="A24">
        <v>1210</v>
      </c>
      <c r="B24" t="s">
        <v>58</v>
      </c>
      <c r="C24" t="s">
        <v>21</v>
      </c>
      <c r="D24" t="s">
        <v>210</v>
      </c>
      <c r="E24">
        <v>650000</v>
      </c>
      <c r="F24">
        <v>630000</v>
      </c>
      <c r="G24" t="s">
        <v>65</v>
      </c>
      <c r="H24">
        <f t="shared" si="0"/>
        <v>0</v>
      </c>
      <c r="I24">
        <v>60</v>
      </c>
      <c r="J24">
        <v>40</v>
      </c>
      <c r="K24">
        <v>0</v>
      </c>
      <c r="L24">
        <v>0</v>
      </c>
      <c r="M24">
        <v>378000</v>
      </c>
      <c r="N24">
        <v>252000</v>
      </c>
      <c r="O24">
        <v>0</v>
      </c>
      <c r="P24">
        <v>0</v>
      </c>
      <c r="Q24" t="s">
        <v>76</v>
      </c>
      <c r="S24">
        <v>61.44</v>
      </c>
      <c r="V24" t="s">
        <v>76</v>
      </c>
      <c r="W24" t="s">
        <v>64</v>
      </c>
      <c r="X24" t="s">
        <v>64</v>
      </c>
      <c r="Z24">
        <v>378000</v>
      </c>
      <c r="AA24">
        <v>1</v>
      </c>
      <c r="AB24">
        <v>2</v>
      </c>
      <c r="AC24">
        <v>60</v>
      </c>
      <c r="AD24">
        <v>25</v>
      </c>
      <c r="AE24">
        <v>10</v>
      </c>
      <c r="AF24">
        <v>2</v>
      </c>
      <c r="AG24">
        <v>3780</v>
      </c>
      <c r="AH24">
        <v>7560</v>
      </c>
      <c r="AI24">
        <v>226800</v>
      </c>
      <c r="AJ24">
        <v>94500</v>
      </c>
      <c r="AK24">
        <v>37800</v>
      </c>
      <c r="AL24">
        <v>7560</v>
      </c>
      <c r="AM24" s="18" t="s">
        <v>76</v>
      </c>
      <c r="AO24" t="s">
        <v>63</v>
      </c>
      <c r="AP24" s="11"/>
      <c r="AQ24" s="11"/>
      <c r="AR24" s="11"/>
      <c r="AS24" s="11"/>
      <c r="AT24" s="11"/>
      <c r="AU24" s="11"/>
      <c r="AV24" s="11"/>
      <c r="AW24" s="11"/>
      <c r="AX24" s="11"/>
      <c r="AY24" s="11"/>
      <c r="AZ24" s="11" t="s">
        <v>77</v>
      </c>
      <c r="BA24" t="s">
        <v>64</v>
      </c>
      <c r="BC24" t="s">
        <v>77</v>
      </c>
      <c r="BD24" s="22"/>
      <c r="BE24" s="22"/>
      <c r="BF24" s="22"/>
      <c r="BG24" s="22"/>
      <c r="BH24" s="22"/>
      <c r="BI24" s="22"/>
      <c r="BJ24" s="22"/>
      <c r="BK24" s="22" t="s">
        <v>77</v>
      </c>
      <c r="BL24" t="s">
        <v>77</v>
      </c>
      <c r="BN24" s="22" t="s">
        <v>77</v>
      </c>
      <c r="BO24" s="22">
        <v>0</v>
      </c>
      <c r="BW24" t="s">
        <v>64</v>
      </c>
      <c r="BX24" t="s">
        <v>76</v>
      </c>
      <c r="BY24" t="s">
        <v>90</v>
      </c>
      <c r="CA24" t="s">
        <v>76</v>
      </c>
      <c r="CC24" t="s">
        <v>77</v>
      </c>
      <c r="CE24" t="s">
        <v>77</v>
      </c>
    </row>
    <row r="25" spans="1:83" x14ac:dyDescent="0.25">
      <c r="A25">
        <v>1323</v>
      </c>
      <c r="B25" t="s">
        <v>58</v>
      </c>
      <c r="C25" t="s">
        <v>34</v>
      </c>
      <c r="D25" t="s">
        <v>210</v>
      </c>
      <c r="E25">
        <v>375000</v>
      </c>
      <c r="F25">
        <v>260000</v>
      </c>
      <c r="G25" t="s">
        <v>65</v>
      </c>
      <c r="H25">
        <f t="shared" si="0"/>
        <v>0</v>
      </c>
      <c r="I25">
        <v>0</v>
      </c>
      <c r="J25">
        <v>100</v>
      </c>
      <c r="K25">
        <v>0</v>
      </c>
      <c r="L25">
        <v>0</v>
      </c>
      <c r="M25">
        <v>0</v>
      </c>
      <c r="N25">
        <v>260000</v>
      </c>
      <c r="O25">
        <v>0</v>
      </c>
      <c r="P25">
        <v>0</v>
      </c>
      <c r="Q25" t="s">
        <v>76</v>
      </c>
      <c r="S25">
        <v>34</v>
      </c>
      <c r="V25" t="s">
        <v>76</v>
      </c>
      <c r="W25" t="s">
        <v>90</v>
      </c>
      <c r="X25" t="s">
        <v>90</v>
      </c>
      <c r="Z25">
        <v>0</v>
      </c>
      <c r="AA25" s="11"/>
      <c r="AB25" s="11"/>
      <c r="AC25" s="11"/>
      <c r="AD25" s="11"/>
      <c r="AE25" s="11"/>
      <c r="AF25" s="11"/>
      <c r="AG25" s="11"/>
      <c r="AH25" s="11"/>
      <c r="AI25" s="11"/>
      <c r="AJ25" s="11"/>
      <c r="AK25" s="11"/>
      <c r="AL25" s="11"/>
      <c r="AM25" s="11" t="s">
        <v>77</v>
      </c>
      <c r="AO25" t="s">
        <v>64</v>
      </c>
      <c r="AP25" s="11"/>
      <c r="AQ25" s="11"/>
      <c r="AR25" s="11"/>
      <c r="AS25" s="11"/>
      <c r="AT25" s="11"/>
      <c r="AU25" s="11"/>
      <c r="AV25" s="11"/>
      <c r="AW25" s="11"/>
      <c r="AX25" s="11"/>
      <c r="AY25" s="11"/>
      <c r="AZ25" s="11" t="s">
        <v>300</v>
      </c>
      <c r="BB25">
        <v>0</v>
      </c>
      <c r="BC25" t="s">
        <v>118</v>
      </c>
      <c r="BD25" s="22"/>
      <c r="BE25" s="22">
        <v>0</v>
      </c>
      <c r="BF25" s="22"/>
      <c r="BG25" s="22">
        <v>0</v>
      </c>
      <c r="BH25" s="22"/>
      <c r="BI25" s="22">
        <v>0</v>
      </c>
      <c r="BJ25" s="22"/>
      <c r="BK25" s="22" t="s">
        <v>118</v>
      </c>
      <c r="BL25" t="s">
        <v>63</v>
      </c>
      <c r="BN25" s="22" t="s">
        <v>77</v>
      </c>
      <c r="BO25" s="22"/>
      <c r="BX25" t="s">
        <v>77</v>
      </c>
      <c r="BY25" t="s">
        <v>90</v>
      </c>
      <c r="CA25" t="s">
        <v>76</v>
      </c>
      <c r="CC25" t="s">
        <v>77</v>
      </c>
      <c r="CE25" t="s">
        <v>77</v>
      </c>
    </row>
    <row r="26" spans="1:83" x14ac:dyDescent="0.25">
      <c r="A26">
        <v>1326</v>
      </c>
      <c r="B26" t="s">
        <v>58</v>
      </c>
      <c r="C26" t="s">
        <v>34</v>
      </c>
      <c r="D26" t="s">
        <v>210</v>
      </c>
      <c r="E26">
        <v>500000</v>
      </c>
      <c r="F26">
        <v>210000</v>
      </c>
      <c r="G26" t="s">
        <v>65</v>
      </c>
      <c r="H26">
        <f t="shared" si="0"/>
        <v>0</v>
      </c>
      <c r="I26">
        <v>1</v>
      </c>
      <c r="J26">
        <v>98</v>
      </c>
      <c r="K26">
        <v>0</v>
      </c>
      <c r="L26">
        <v>1</v>
      </c>
      <c r="M26">
        <v>2100</v>
      </c>
      <c r="N26">
        <v>205800</v>
      </c>
      <c r="O26">
        <v>0</v>
      </c>
      <c r="P26">
        <v>2100</v>
      </c>
      <c r="Q26" t="s">
        <v>76</v>
      </c>
      <c r="S26">
        <v>46</v>
      </c>
      <c r="V26" t="s">
        <v>76</v>
      </c>
      <c r="W26" t="s">
        <v>64</v>
      </c>
      <c r="X26" t="s">
        <v>77</v>
      </c>
      <c r="Z26">
        <v>2100</v>
      </c>
      <c r="AA26" s="11"/>
      <c r="AB26" s="11"/>
      <c r="AC26" s="11"/>
      <c r="AD26" s="11"/>
      <c r="AE26" s="11"/>
      <c r="AF26" s="11"/>
      <c r="AG26" s="11"/>
      <c r="AH26" s="11"/>
      <c r="AI26" s="11"/>
      <c r="AJ26" s="11"/>
      <c r="AK26" s="11"/>
      <c r="AL26" s="11"/>
      <c r="AM26" s="11" t="s">
        <v>77</v>
      </c>
      <c r="AO26" t="s">
        <v>63</v>
      </c>
      <c r="AP26" s="11"/>
      <c r="AQ26" s="11"/>
      <c r="AR26" s="11"/>
      <c r="AS26" s="11"/>
      <c r="AT26" s="11"/>
      <c r="AU26" s="11"/>
      <c r="AV26" s="11"/>
      <c r="AW26" s="11"/>
      <c r="AX26" s="11"/>
      <c r="AY26" s="11"/>
      <c r="AZ26" s="11" t="s">
        <v>77</v>
      </c>
      <c r="BA26" t="s">
        <v>64</v>
      </c>
      <c r="BC26" t="s">
        <v>77</v>
      </c>
      <c r="BD26" s="22"/>
      <c r="BE26" s="22"/>
      <c r="BF26" s="22"/>
      <c r="BG26" s="22"/>
      <c r="BH26" s="22"/>
      <c r="BI26" s="22"/>
      <c r="BJ26" s="22"/>
      <c r="BK26" s="22" t="s">
        <v>77</v>
      </c>
      <c r="BL26" t="s">
        <v>77</v>
      </c>
      <c r="BN26" s="22" t="s">
        <v>77</v>
      </c>
      <c r="BO26" s="22"/>
      <c r="BX26" t="s">
        <v>77</v>
      </c>
      <c r="BY26" t="s">
        <v>90</v>
      </c>
      <c r="CA26" t="s">
        <v>76</v>
      </c>
      <c r="CC26" t="s">
        <v>77</v>
      </c>
      <c r="CE26" t="s">
        <v>77</v>
      </c>
    </row>
    <row r="27" spans="1:83" x14ac:dyDescent="0.25">
      <c r="A27">
        <v>1327</v>
      </c>
      <c r="B27" t="s">
        <v>59</v>
      </c>
      <c r="C27" t="s">
        <v>34</v>
      </c>
      <c r="D27" t="s">
        <v>210</v>
      </c>
      <c r="E27">
        <v>175000</v>
      </c>
      <c r="F27">
        <v>218578</v>
      </c>
      <c r="G27" t="s">
        <v>65</v>
      </c>
      <c r="H27">
        <f t="shared" si="0"/>
        <v>0</v>
      </c>
      <c r="I27">
        <v>0</v>
      </c>
      <c r="J27">
        <v>89.525649786742704</v>
      </c>
      <c r="K27">
        <v>5.2859532954732895</v>
      </c>
      <c r="L27">
        <v>5.1883969177840088</v>
      </c>
      <c r="M27">
        <v>0</v>
      </c>
      <c r="N27">
        <v>195683.37479086648</v>
      </c>
      <c r="O27">
        <v>11553.930994179607</v>
      </c>
      <c r="P27">
        <v>11340.694214953932</v>
      </c>
      <c r="Q27" t="s">
        <v>76</v>
      </c>
      <c r="R27" t="s">
        <v>64</v>
      </c>
      <c r="S27">
        <v>37</v>
      </c>
      <c r="T27">
        <v>0</v>
      </c>
      <c r="U27">
        <v>37</v>
      </c>
      <c r="V27" t="s">
        <v>76</v>
      </c>
      <c r="W27" t="s">
        <v>64</v>
      </c>
      <c r="X27" t="s">
        <v>63</v>
      </c>
      <c r="Y27" t="s">
        <v>96</v>
      </c>
      <c r="Z27">
        <v>0</v>
      </c>
      <c r="AA27" s="11"/>
      <c r="AB27" s="11"/>
      <c r="AC27" s="11"/>
      <c r="AD27" s="11"/>
      <c r="AE27" s="11"/>
      <c r="AF27" s="11"/>
      <c r="AG27" s="11"/>
      <c r="AH27" s="11"/>
      <c r="AI27" s="11"/>
      <c r="AJ27" s="11"/>
      <c r="AK27" s="11"/>
      <c r="AL27" s="11"/>
      <c r="AM27" s="11" t="s">
        <v>77</v>
      </c>
      <c r="AO27" t="s">
        <v>64</v>
      </c>
      <c r="AP27">
        <v>5.2362177491872446</v>
      </c>
      <c r="AQ27">
        <v>0</v>
      </c>
      <c r="AR27">
        <v>0</v>
      </c>
      <c r="AS27">
        <v>94.763782250812753</v>
      </c>
      <c r="AT27">
        <v>0</v>
      </c>
      <c r="AU27">
        <v>604.98898544607891</v>
      </c>
      <c r="AV27">
        <v>0</v>
      </c>
      <c r="AW27">
        <v>0</v>
      </c>
      <c r="AX27">
        <v>10948.942008733529</v>
      </c>
      <c r="AY27">
        <v>0</v>
      </c>
      <c r="AZ27" t="s">
        <v>76</v>
      </c>
      <c r="BB27">
        <v>378.5</v>
      </c>
      <c r="BC27" t="s">
        <v>76</v>
      </c>
      <c r="BD27" s="22">
        <v>0</v>
      </c>
      <c r="BE27" s="22"/>
      <c r="BF27" s="22">
        <v>0</v>
      </c>
      <c r="BG27" s="22"/>
      <c r="BH27" s="22">
        <v>0</v>
      </c>
      <c r="BI27" s="22"/>
      <c r="BJ27" s="22"/>
      <c r="BK27" s="22" t="s">
        <v>118</v>
      </c>
      <c r="BL27" t="s">
        <v>158</v>
      </c>
      <c r="BN27" s="22" t="s">
        <v>89</v>
      </c>
      <c r="BO27" s="22"/>
      <c r="BX27" t="s">
        <v>77</v>
      </c>
      <c r="BY27" t="s">
        <v>90</v>
      </c>
      <c r="CA27" t="s">
        <v>76</v>
      </c>
      <c r="CC27" t="s">
        <v>77</v>
      </c>
      <c r="CE27" t="s">
        <v>77</v>
      </c>
    </row>
    <row r="28" spans="1:83" x14ac:dyDescent="0.25">
      <c r="A28">
        <v>1333</v>
      </c>
      <c r="B28" t="s">
        <v>58</v>
      </c>
      <c r="C28" t="s">
        <v>34</v>
      </c>
      <c r="D28" t="s">
        <v>210</v>
      </c>
      <c r="E28">
        <v>214000</v>
      </c>
      <c r="F28">
        <v>280000</v>
      </c>
      <c r="G28" t="s">
        <v>65</v>
      </c>
      <c r="H28">
        <f t="shared" si="0"/>
        <v>0</v>
      </c>
      <c r="I28">
        <v>8</v>
      </c>
      <c r="J28">
        <v>86</v>
      </c>
      <c r="K28">
        <v>6</v>
      </c>
      <c r="L28">
        <v>0</v>
      </c>
      <c r="M28">
        <v>22400</v>
      </c>
      <c r="N28">
        <v>240800</v>
      </c>
      <c r="O28">
        <v>16800</v>
      </c>
      <c r="P28">
        <v>0</v>
      </c>
      <c r="Q28" t="s">
        <v>76</v>
      </c>
      <c r="S28">
        <v>50</v>
      </c>
      <c r="T28">
        <v>11</v>
      </c>
      <c r="V28" t="s">
        <v>76</v>
      </c>
      <c r="W28" t="s">
        <v>89</v>
      </c>
      <c r="X28" t="s">
        <v>90</v>
      </c>
      <c r="Y28" t="s">
        <v>97</v>
      </c>
      <c r="Z28">
        <v>22400</v>
      </c>
      <c r="AA28">
        <v>0</v>
      </c>
      <c r="AB28">
        <v>2</v>
      </c>
      <c r="AC28">
        <v>10</v>
      </c>
      <c r="AD28">
        <v>11</v>
      </c>
      <c r="AE28">
        <v>8</v>
      </c>
      <c r="AF28">
        <v>69</v>
      </c>
      <c r="AG28">
        <v>0</v>
      </c>
      <c r="AH28">
        <v>448</v>
      </c>
      <c r="AI28">
        <v>2240</v>
      </c>
      <c r="AJ28">
        <v>2464</v>
      </c>
      <c r="AK28">
        <v>1792</v>
      </c>
      <c r="AL28">
        <v>15456</v>
      </c>
      <c r="AM28" s="18" t="s">
        <v>76</v>
      </c>
      <c r="AO28" t="s">
        <v>64</v>
      </c>
      <c r="AP28">
        <v>11</v>
      </c>
      <c r="AQ28">
        <v>1</v>
      </c>
      <c r="AR28">
        <v>75</v>
      </c>
      <c r="AS28">
        <v>13</v>
      </c>
      <c r="AT28">
        <v>0</v>
      </c>
      <c r="AU28">
        <v>1848</v>
      </c>
      <c r="AV28">
        <v>168</v>
      </c>
      <c r="AW28">
        <v>12600</v>
      </c>
      <c r="AX28">
        <v>2184</v>
      </c>
      <c r="AY28">
        <v>0</v>
      </c>
      <c r="AZ28" t="s">
        <v>76</v>
      </c>
      <c r="BB28">
        <v>14000</v>
      </c>
      <c r="BC28" t="s">
        <v>76</v>
      </c>
      <c r="BD28" s="22">
        <v>11</v>
      </c>
      <c r="BE28" s="22">
        <v>12000</v>
      </c>
      <c r="BF28" s="22"/>
      <c r="BG28" s="22"/>
      <c r="BH28" s="22"/>
      <c r="BI28" s="22"/>
      <c r="BJ28" s="22"/>
      <c r="BK28" s="22" t="s">
        <v>76</v>
      </c>
      <c r="BL28" t="s">
        <v>63</v>
      </c>
      <c r="BN28" s="22" t="s">
        <v>77</v>
      </c>
      <c r="BO28" s="22">
        <v>0</v>
      </c>
      <c r="BX28" t="s">
        <v>77</v>
      </c>
      <c r="BY28" t="s">
        <v>90</v>
      </c>
      <c r="CA28" t="s">
        <v>76</v>
      </c>
      <c r="CC28" t="s">
        <v>77</v>
      </c>
      <c r="CE28" t="s">
        <v>77</v>
      </c>
    </row>
    <row r="29" spans="1:83" x14ac:dyDescent="0.25">
      <c r="A29">
        <v>1385</v>
      </c>
      <c r="B29" t="s">
        <v>59</v>
      </c>
      <c r="C29" t="s">
        <v>37</v>
      </c>
      <c r="D29" t="s">
        <v>210</v>
      </c>
      <c r="E29">
        <v>150000</v>
      </c>
      <c r="F29">
        <v>166123</v>
      </c>
      <c r="G29" t="s">
        <v>65</v>
      </c>
      <c r="H29">
        <f t="shared" si="0"/>
        <v>0</v>
      </c>
      <c r="I29">
        <v>2</v>
      </c>
      <c r="J29">
        <v>68</v>
      </c>
      <c r="K29">
        <v>6</v>
      </c>
      <c r="L29">
        <v>24</v>
      </c>
      <c r="M29">
        <v>3322.46</v>
      </c>
      <c r="N29">
        <v>112963.64</v>
      </c>
      <c r="O29">
        <v>9967.380000000001</v>
      </c>
      <c r="P29">
        <v>39869.520000000004</v>
      </c>
      <c r="Q29" t="s">
        <v>76</v>
      </c>
      <c r="S29">
        <v>21</v>
      </c>
      <c r="T29">
        <v>21</v>
      </c>
      <c r="U29">
        <v>21</v>
      </c>
      <c r="V29" t="s">
        <v>76</v>
      </c>
      <c r="W29" t="s">
        <v>64</v>
      </c>
      <c r="X29" t="s">
        <v>64</v>
      </c>
      <c r="Z29">
        <v>3322.46</v>
      </c>
      <c r="AA29">
        <v>10</v>
      </c>
      <c r="AB29">
        <v>10</v>
      </c>
      <c r="AC29">
        <v>10</v>
      </c>
      <c r="AD29">
        <v>10</v>
      </c>
      <c r="AE29">
        <v>50</v>
      </c>
      <c r="AF29">
        <v>10</v>
      </c>
      <c r="AG29">
        <v>332.24599999999998</v>
      </c>
      <c r="AH29">
        <v>332.24599999999998</v>
      </c>
      <c r="AI29">
        <v>332.24599999999998</v>
      </c>
      <c r="AJ29">
        <v>332.24599999999998</v>
      </c>
      <c r="AK29">
        <v>1661.23</v>
      </c>
      <c r="AL29">
        <v>332.24599999999998</v>
      </c>
      <c r="AM29" s="18" t="s">
        <v>76</v>
      </c>
      <c r="AO29" t="s">
        <v>64</v>
      </c>
      <c r="AP29">
        <v>5</v>
      </c>
      <c r="AQ29">
        <v>5</v>
      </c>
      <c r="AR29">
        <v>5</v>
      </c>
      <c r="AS29">
        <v>80</v>
      </c>
      <c r="AT29">
        <v>5</v>
      </c>
      <c r="AU29">
        <v>498.36900000000009</v>
      </c>
      <c r="AV29">
        <v>498.36900000000009</v>
      </c>
      <c r="AW29">
        <v>498.36900000000009</v>
      </c>
      <c r="AX29">
        <v>7973.9040000000014</v>
      </c>
      <c r="AY29">
        <v>498.36900000000009</v>
      </c>
      <c r="AZ29" t="s">
        <v>76</v>
      </c>
      <c r="BB29">
        <v>1500</v>
      </c>
      <c r="BC29" t="s">
        <v>76</v>
      </c>
      <c r="BD29" s="22">
        <v>0</v>
      </c>
      <c r="BE29" s="22"/>
      <c r="BF29" s="22">
        <v>0</v>
      </c>
      <c r="BG29" s="22"/>
      <c r="BH29" s="22">
        <v>0</v>
      </c>
      <c r="BI29" s="22"/>
      <c r="BJ29" s="22"/>
      <c r="BK29" s="22" t="s">
        <v>118</v>
      </c>
      <c r="BL29" t="s">
        <v>63</v>
      </c>
      <c r="BN29" s="22" t="s">
        <v>77</v>
      </c>
      <c r="BO29" s="22"/>
      <c r="BX29" t="s">
        <v>77</v>
      </c>
      <c r="BY29" t="s">
        <v>89</v>
      </c>
      <c r="BZ29">
        <v>11000</v>
      </c>
      <c r="CA29" t="s">
        <v>76</v>
      </c>
      <c r="CB29">
        <v>11000</v>
      </c>
      <c r="CC29" t="s">
        <v>76</v>
      </c>
      <c r="CD29">
        <v>100</v>
      </c>
      <c r="CE29" t="s">
        <v>76</v>
      </c>
    </row>
    <row r="30" spans="1:83" x14ac:dyDescent="0.25">
      <c r="A30">
        <v>1503</v>
      </c>
      <c r="B30" t="s">
        <v>58</v>
      </c>
      <c r="C30" t="s">
        <v>40</v>
      </c>
      <c r="D30" t="s">
        <v>210</v>
      </c>
      <c r="E30">
        <v>120000</v>
      </c>
      <c r="F30">
        <f>SUM(M30:P30)</f>
        <v>86628.063540000003</v>
      </c>
      <c r="G30" t="s">
        <v>65</v>
      </c>
      <c r="H30">
        <f t="shared" si="0"/>
        <v>0</v>
      </c>
      <c r="I30">
        <f>(M30/$F30)*100</f>
        <v>9.9993000489965702</v>
      </c>
      <c r="J30">
        <f t="shared" ref="J30:L30" si="3">(N30/$F30)*100</f>
        <v>88.993770436069468</v>
      </c>
      <c r="K30">
        <f t="shared" si="3"/>
        <v>0.999930004899657</v>
      </c>
      <c r="L30">
        <f t="shared" si="3"/>
        <v>6.9995100342975991E-3</v>
      </c>
      <c r="M30">
        <v>8662.2000000000007</v>
      </c>
      <c r="N30">
        <v>77093.58</v>
      </c>
      <c r="O30">
        <v>866.22</v>
      </c>
      <c r="P30">
        <v>6.0635400000000006</v>
      </c>
      <c r="Q30" t="s">
        <v>76</v>
      </c>
      <c r="S30">
        <v>48</v>
      </c>
      <c r="T30">
        <v>48</v>
      </c>
      <c r="U30">
        <v>48</v>
      </c>
      <c r="V30" t="s">
        <v>76</v>
      </c>
      <c r="W30" t="s">
        <v>89</v>
      </c>
      <c r="X30" t="s">
        <v>89</v>
      </c>
      <c r="Z30">
        <v>8662.2000000000007</v>
      </c>
      <c r="AA30">
        <v>5</v>
      </c>
      <c r="AB30">
        <v>5</v>
      </c>
      <c r="AC30">
        <v>5</v>
      </c>
      <c r="AD30">
        <v>10</v>
      </c>
      <c r="AE30">
        <v>5</v>
      </c>
      <c r="AF30">
        <v>70</v>
      </c>
      <c r="AG30">
        <v>433.11</v>
      </c>
      <c r="AH30">
        <v>433.11</v>
      </c>
      <c r="AI30">
        <v>433.11</v>
      </c>
      <c r="AJ30">
        <v>866.22</v>
      </c>
      <c r="AK30">
        <v>433.11</v>
      </c>
      <c r="AL30">
        <v>6063.54</v>
      </c>
      <c r="AM30" s="18" t="s">
        <v>76</v>
      </c>
      <c r="AO30" t="s">
        <v>64</v>
      </c>
      <c r="AP30">
        <v>5</v>
      </c>
      <c r="AQ30">
        <v>5</v>
      </c>
      <c r="AR30">
        <v>5</v>
      </c>
      <c r="AS30">
        <v>10</v>
      </c>
      <c r="AT30">
        <v>75</v>
      </c>
      <c r="AU30">
        <v>43.311000000000007</v>
      </c>
      <c r="AV30">
        <v>43.311000000000007</v>
      </c>
      <c r="AW30">
        <v>43.311000000000007</v>
      </c>
      <c r="AX30">
        <v>86.622000000000014</v>
      </c>
      <c r="AY30">
        <v>649.66499999999996</v>
      </c>
      <c r="AZ30" t="s">
        <v>76</v>
      </c>
      <c r="BB30">
        <v>0</v>
      </c>
      <c r="BC30" t="s">
        <v>118</v>
      </c>
      <c r="BD30" s="22"/>
      <c r="BE30" s="22"/>
      <c r="BF30" s="22"/>
      <c r="BG30" s="22"/>
      <c r="BH30" s="22"/>
      <c r="BI30" s="22"/>
      <c r="BJ30" s="22"/>
      <c r="BK30" s="22" t="s">
        <v>77</v>
      </c>
      <c r="BL30" t="s">
        <v>158</v>
      </c>
      <c r="BN30" s="22" t="s">
        <v>89</v>
      </c>
      <c r="BO30" s="22"/>
      <c r="BX30" t="s">
        <v>77</v>
      </c>
      <c r="BY30" t="s">
        <v>77</v>
      </c>
      <c r="CA30" t="s">
        <v>201</v>
      </c>
      <c r="CC30" t="s">
        <v>77</v>
      </c>
      <c r="CE30" t="s">
        <v>77</v>
      </c>
    </row>
    <row r="31" spans="1:83" x14ac:dyDescent="0.25">
      <c r="A31">
        <v>1515</v>
      </c>
      <c r="B31" t="s">
        <v>58</v>
      </c>
      <c r="C31" t="s">
        <v>40</v>
      </c>
      <c r="D31" t="s">
        <v>210</v>
      </c>
      <c r="E31">
        <v>95110</v>
      </c>
      <c r="F31">
        <v>181767</v>
      </c>
      <c r="G31" t="s">
        <v>65</v>
      </c>
      <c r="I31" s="11"/>
      <c r="J31" s="11"/>
      <c r="K31" s="11"/>
      <c r="L31" s="11"/>
      <c r="M31" s="11"/>
      <c r="N31" s="11"/>
      <c r="O31" s="11"/>
      <c r="P31" s="11"/>
      <c r="Q31" s="11" t="s">
        <v>77</v>
      </c>
      <c r="R31" s="11"/>
      <c r="V31" t="s">
        <v>77</v>
      </c>
      <c r="W31" t="s">
        <v>77</v>
      </c>
      <c r="X31" t="s">
        <v>77</v>
      </c>
      <c r="Z31" s="11"/>
      <c r="AA31" s="11"/>
      <c r="AB31" s="11"/>
      <c r="AC31" s="11"/>
      <c r="AD31" s="11"/>
      <c r="AE31" s="11"/>
      <c r="AF31" s="11"/>
      <c r="AG31" s="11"/>
      <c r="AH31" s="11"/>
      <c r="AI31" s="11"/>
      <c r="AJ31" s="11"/>
      <c r="AK31" s="11"/>
      <c r="AL31" s="11"/>
      <c r="AM31" s="11" t="s">
        <v>77</v>
      </c>
      <c r="AO31" t="s">
        <v>77</v>
      </c>
      <c r="AP31" s="11"/>
      <c r="AQ31" s="11"/>
      <c r="AR31" s="11"/>
      <c r="AS31" s="11"/>
      <c r="AT31" s="11"/>
      <c r="AU31" s="11"/>
      <c r="AV31" s="11"/>
      <c r="AW31" s="11"/>
      <c r="AX31" s="11"/>
      <c r="AY31" s="11"/>
      <c r="AZ31" s="11" t="s">
        <v>77</v>
      </c>
      <c r="BC31" t="s">
        <v>77</v>
      </c>
      <c r="BD31" s="22"/>
      <c r="BE31" s="22"/>
      <c r="BF31" s="22"/>
      <c r="BG31" s="22"/>
      <c r="BH31" s="22"/>
      <c r="BI31" s="22"/>
      <c r="BJ31" s="22"/>
      <c r="BK31" s="22" t="s">
        <v>77</v>
      </c>
      <c r="BL31" t="s">
        <v>77</v>
      </c>
      <c r="BN31" s="22" t="s">
        <v>77</v>
      </c>
      <c r="BO31" s="22">
        <v>-86</v>
      </c>
      <c r="BX31" t="s">
        <v>77</v>
      </c>
      <c r="BY31" t="s">
        <v>90</v>
      </c>
      <c r="CA31" t="s">
        <v>76</v>
      </c>
      <c r="CC31" t="s">
        <v>77</v>
      </c>
      <c r="CE31" t="s">
        <v>77</v>
      </c>
    </row>
    <row r="32" spans="1:83" x14ac:dyDescent="0.25">
      <c r="A32">
        <v>1518</v>
      </c>
      <c r="B32" t="s">
        <v>59</v>
      </c>
      <c r="C32" t="s">
        <v>40</v>
      </c>
      <c r="D32" t="s">
        <v>210</v>
      </c>
      <c r="E32">
        <v>52000</v>
      </c>
      <c r="F32">
        <v>41301</v>
      </c>
      <c r="G32" t="s">
        <v>65</v>
      </c>
      <c r="H32">
        <f t="shared" si="0"/>
        <v>0</v>
      </c>
      <c r="I32">
        <v>0</v>
      </c>
      <c r="J32">
        <v>96.07515556524055</v>
      </c>
      <c r="K32">
        <v>3.9248444347594487</v>
      </c>
      <c r="L32">
        <v>0</v>
      </c>
      <c r="M32">
        <v>0</v>
      </c>
      <c r="N32">
        <v>39680</v>
      </c>
      <c r="O32">
        <v>1621</v>
      </c>
      <c r="P32">
        <v>0</v>
      </c>
      <c r="Q32" t="s">
        <v>76</v>
      </c>
      <c r="S32">
        <v>38</v>
      </c>
      <c r="T32">
        <v>28</v>
      </c>
      <c r="U32">
        <v>28</v>
      </c>
      <c r="V32" t="s">
        <v>76</v>
      </c>
      <c r="W32" t="s">
        <v>64</v>
      </c>
      <c r="X32" t="s">
        <v>63</v>
      </c>
      <c r="Y32" t="s">
        <v>100</v>
      </c>
      <c r="Z32">
        <v>0</v>
      </c>
      <c r="AA32" s="11"/>
      <c r="AB32" s="11"/>
      <c r="AC32" s="11"/>
      <c r="AD32" s="11"/>
      <c r="AE32" s="11"/>
      <c r="AF32" s="11"/>
      <c r="AG32" s="11"/>
      <c r="AH32" s="11"/>
      <c r="AI32" s="11"/>
      <c r="AJ32" s="11"/>
      <c r="AK32" s="11"/>
      <c r="AL32" s="11"/>
      <c r="AM32" s="11" t="s">
        <v>77</v>
      </c>
      <c r="AO32" t="s">
        <v>64</v>
      </c>
      <c r="AP32" s="11"/>
      <c r="AQ32" s="11"/>
      <c r="AR32" s="11"/>
      <c r="AS32" s="11"/>
      <c r="AT32" s="11"/>
      <c r="AU32" s="11"/>
      <c r="AV32" s="11"/>
      <c r="AW32" s="11"/>
      <c r="AX32" s="11"/>
      <c r="AY32" s="11"/>
      <c r="AZ32" s="11" t="s">
        <v>77</v>
      </c>
      <c r="BC32" t="s">
        <v>77</v>
      </c>
      <c r="BD32" s="22"/>
      <c r="BE32" s="22"/>
      <c r="BF32" s="22"/>
      <c r="BG32" s="22"/>
      <c r="BH32" s="22"/>
      <c r="BI32" s="22"/>
      <c r="BJ32" s="22"/>
      <c r="BK32" s="22" t="s">
        <v>77</v>
      </c>
      <c r="BL32" t="s">
        <v>63</v>
      </c>
      <c r="BN32" s="22" t="s">
        <v>77</v>
      </c>
      <c r="BO32" s="22"/>
      <c r="BX32" t="s">
        <v>77</v>
      </c>
      <c r="BY32" t="s">
        <v>77</v>
      </c>
      <c r="CA32" t="s">
        <v>201</v>
      </c>
      <c r="CC32" t="s">
        <v>77</v>
      </c>
      <c r="CE32" t="s">
        <v>77</v>
      </c>
    </row>
    <row r="33" spans="1:83" x14ac:dyDescent="0.25">
      <c r="A33">
        <v>1618</v>
      </c>
      <c r="B33" t="s">
        <v>59</v>
      </c>
      <c r="C33" t="s">
        <v>16</v>
      </c>
      <c r="D33" t="s">
        <v>210</v>
      </c>
      <c r="E33">
        <v>400000</v>
      </c>
      <c r="F33">
        <v>485000</v>
      </c>
      <c r="G33" t="s">
        <v>65</v>
      </c>
      <c r="H33">
        <f t="shared" si="0"/>
        <v>0</v>
      </c>
      <c r="I33">
        <v>0</v>
      </c>
      <c r="J33">
        <v>87.878787878787875</v>
      </c>
      <c r="K33">
        <v>3.6363636363636362</v>
      </c>
      <c r="L33">
        <v>8.4848484848484862</v>
      </c>
      <c r="M33">
        <v>0</v>
      </c>
      <c r="N33">
        <v>426212.12121212116</v>
      </c>
      <c r="O33">
        <v>17636.363636363636</v>
      </c>
      <c r="P33">
        <v>41151.515151515159</v>
      </c>
      <c r="Q33" t="s">
        <v>76</v>
      </c>
      <c r="R33" t="s">
        <v>64</v>
      </c>
      <c r="S33">
        <v>45</v>
      </c>
      <c r="T33">
        <v>32</v>
      </c>
      <c r="U33">
        <v>32</v>
      </c>
      <c r="V33" t="s">
        <v>76</v>
      </c>
      <c r="W33" t="s">
        <v>90</v>
      </c>
      <c r="X33" t="s">
        <v>90</v>
      </c>
      <c r="Z33">
        <v>0</v>
      </c>
      <c r="AA33" s="11"/>
      <c r="AB33" s="11"/>
      <c r="AC33" s="11"/>
      <c r="AD33" s="11"/>
      <c r="AE33" s="11"/>
      <c r="AF33" s="11"/>
      <c r="AG33" s="11"/>
      <c r="AH33" s="11"/>
      <c r="AI33" s="11"/>
      <c r="AJ33" s="11"/>
      <c r="AK33" s="11"/>
      <c r="AL33" s="11"/>
      <c r="AM33" s="11" t="s">
        <v>77</v>
      </c>
      <c r="AO33" t="s">
        <v>64</v>
      </c>
      <c r="AP33">
        <v>11.111111111111111</v>
      </c>
      <c r="AQ33">
        <v>0</v>
      </c>
      <c r="AR33">
        <v>0</v>
      </c>
      <c r="AS33">
        <v>88.888888888888886</v>
      </c>
      <c r="AT33">
        <v>0</v>
      </c>
      <c r="AU33">
        <v>1959.5959595959596</v>
      </c>
      <c r="AV33">
        <v>0</v>
      </c>
      <c r="AW33">
        <v>0</v>
      </c>
      <c r="AX33">
        <v>15676.767676767677</v>
      </c>
      <c r="AY33">
        <v>0</v>
      </c>
      <c r="AZ33" t="s">
        <v>76</v>
      </c>
      <c r="BB33">
        <v>0</v>
      </c>
      <c r="BC33" t="s">
        <v>118</v>
      </c>
      <c r="BD33" s="22">
        <v>22</v>
      </c>
      <c r="BE33" s="22">
        <v>9000</v>
      </c>
      <c r="BF33" s="22">
        <v>22</v>
      </c>
      <c r="BG33" s="22">
        <v>9000</v>
      </c>
      <c r="BH33" s="22"/>
      <c r="BI33" s="22"/>
      <c r="BJ33" s="22"/>
      <c r="BK33" s="22" t="s">
        <v>76</v>
      </c>
      <c r="BL33" t="s">
        <v>158</v>
      </c>
      <c r="BN33" s="22" t="s">
        <v>89</v>
      </c>
      <c r="BO33" s="22"/>
      <c r="BX33" t="s">
        <v>77</v>
      </c>
      <c r="BY33" t="s">
        <v>77</v>
      </c>
      <c r="CA33" t="s">
        <v>201</v>
      </c>
      <c r="CC33" t="s">
        <v>77</v>
      </c>
      <c r="CE33" t="s">
        <v>77</v>
      </c>
    </row>
    <row r="34" spans="1:83" x14ac:dyDescent="0.25">
      <c r="A34">
        <v>1622</v>
      </c>
      <c r="B34" t="s">
        <v>58</v>
      </c>
      <c r="C34" t="s">
        <v>16</v>
      </c>
      <c r="D34" t="s">
        <v>210</v>
      </c>
      <c r="E34">
        <v>240000</v>
      </c>
      <c r="F34">
        <v>217000</v>
      </c>
      <c r="G34" t="s">
        <v>65</v>
      </c>
      <c r="H34">
        <f t="shared" si="0"/>
        <v>0</v>
      </c>
      <c r="I34">
        <v>1</v>
      </c>
      <c r="J34">
        <v>97</v>
      </c>
      <c r="K34">
        <v>1</v>
      </c>
      <c r="L34">
        <v>1</v>
      </c>
      <c r="M34">
        <v>2170</v>
      </c>
      <c r="N34">
        <v>210490</v>
      </c>
      <c r="O34">
        <v>2170</v>
      </c>
      <c r="P34">
        <v>2170</v>
      </c>
      <c r="Q34" t="s">
        <v>76</v>
      </c>
      <c r="S34">
        <v>32</v>
      </c>
      <c r="T34">
        <v>20</v>
      </c>
      <c r="U34">
        <v>20</v>
      </c>
      <c r="V34" t="s">
        <v>76</v>
      </c>
      <c r="W34" t="s">
        <v>89</v>
      </c>
      <c r="X34" t="s">
        <v>89</v>
      </c>
      <c r="AA34" s="12"/>
      <c r="AB34" s="12"/>
      <c r="AC34" s="12"/>
      <c r="AD34" s="12"/>
      <c r="AE34" s="12"/>
      <c r="AF34" s="12"/>
      <c r="AG34" s="12"/>
      <c r="AH34" s="12"/>
      <c r="AI34" s="12"/>
      <c r="AJ34" s="12"/>
      <c r="AK34" s="12"/>
      <c r="AL34" s="12"/>
      <c r="AM34" s="12" t="s">
        <v>118</v>
      </c>
      <c r="AO34" t="s">
        <v>64</v>
      </c>
      <c r="AP34">
        <v>20</v>
      </c>
      <c r="AQ34">
        <v>5</v>
      </c>
      <c r="AR34">
        <v>0</v>
      </c>
      <c r="AS34">
        <v>75</v>
      </c>
      <c r="AT34">
        <v>0</v>
      </c>
      <c r="AU34">
        <v>434</v>
      </c>
      <c r="AV34">
        <v>108.5</v>
      </c>
      <c r="AW34">
        <v>0</v>
      </c>
      <c r="AX34">
        <v>1627.5</v>
      </c>
      <c r="AY34">
        <v>0</v>
      </c>
      <c r="AZ34" t="s">
        <v>76</v>
      </c>
      <c r="BB34">
        <v>0.95</v>
      </c>
      <c r="BC34" t="s">
        <v>76</v>
      </c>
      <c r="BD34" s="22">
        <v>7.5</v>
      </c>
      <c r="BE34" s="22"/>
      <c r="BF34" s="22">
        <v>7.5</v>
      </c>
      <c r="BG34" s="22"/>
      <c r="BH34" s="22">
        <v>7.5</v>
      </c>
      <c r="BI34" s="22"/>
      <c r="BJ34" s="22"/>
      <c r="BK34" s="22" t="s">
        <v>118</v>
      </c>
      <c r="BL34" t="s">
        <v>63</v>
      </c>
      <c r="BN34" s="22" t="s">
        <v>77</v>
      </c>
      <c r="BO34" s="22">
        <v>0</v>
      </c>
      <c r="BW34" t="s">
        <v>64</v>
      </c>
      <c r="BX34" t="s">
        <v>76</v>
      </c>
      <c r="BY34" t="s">
        <v>64</v>
      </c>
      <c r="BZ34">
        <v>40000</v>
      </c>
      <c r="CA34" t="s">
        <v>76</v>
      </c>
      <c r="CB34">
        <v>40000</v>
      </c>
      <c r="CC34" t="s">
        <v>76</v>
      </c>
      <c r="CD34">
        <v>10</v>
      </c>
      <c r="CE34" t="s">
        <v>76</v>
      </c>
    </row>
    <row r="35" spans="1:83" x14ac:dyDescent="0.25">
      <c r="A35">
        <v>1625</v>
      </c>
      <c r="B35" t="s">
        <v>59</v>
      </c>
      <c r="C35" t="s">
        <v>16</v>
      </c>
      <c r="D35" t="s">
        <v>210</v>
      </c>
      <c r="E35">
        <v>83000</v>
      </c>
      <c r="F35">
        <v>52000</v>
      </c>
      <c r="G35" t="s">
        <v>65</v>
      </c>
      <c r="H35">
        <f t="shared" si="0"/>
        <v>0</v>
      </c>
      <c r="I35">
        <v>15</v>
      </c>
      <c r="J35">
        <v>72</v>
      </c>
      <c r="K35">
        <v>5</v>
      </c>
      <c r="L35">
        <v>8</v>
      </c>
      <c r="M35">
        <v>7800</v>
      </c>
      <c r="N35">
        <v>37440</v>
      </c>
      <c r="O35">
        <v>2600</v>
      </c>
      <c r="P35">
        <v>4160</v>
      </c>
      <c r="Q35" t="s">
        <v>76</v>
      </c>
      <c r="S35">
        <v>41</v>
      </c>
      <c r="T35">
        <v>41</v>
      </c>
      <c r="U35">
        <v>41</v>
      </c>
      <c r="V35" t="s">
        <v>76</v>
      </c>
      <c r="W35" t="s">
        <v>64</v>
      </c>
      <c r="X35" t="s">
        <v>64</v>
      </c>
      <c r="Z35">
        <v>7800</v>
      </c>
      <c r="AA35">
        <v>4</v>
      </c>
      <c r="AB35">
        <v>3</v>
      </c>
      <c r="AC35">
        <v>43</v>
      </c>
      <c r="AD35">
        <v>15</v>
      </c>
      <c r="AE35">
        <v>15</v>
      </c>
      <c r="AF35">
        <v>20</v>
      </c>
      <c r="AG35">
        <v>312</v>
      </c>
      <c r="AH35">
        <v>234</v>
      </c>
      <c r="AI35">
        <v>3354</v>
      </c>
      <c r="AJ35">
        <v>1170</v>
      </c>
      <c r="AK35">
        <v>1170</v>
      </c>
      <c r="AL35">
        <v>1560</v>
      </c>
      <c r="AM35" s="18" t="s">
        <v>76</v>
      </c>
      <c r="AO35" t="s">
        <v>64</v>
      </c>
      <c r="AP35" s="11"/>
      <c r="AQ35" s="11"/>
      <c r="AR35" s="11"/>
      <c r="AS35" s="11"/>
      <c r="AT35" s="11"/>
      <c r="AU35" s="11"/>
      <c r="AV35" s="11"/>
      <c r="AW35" s="11"/>
      <c r="AX35" s="11"/>
      <c r="AY35" s="11"/>
      <c r="AZ35" s="11" t="s">
        <v>77</v>
      </c>
      <c r="BB35">
        <v>0</v>
      </c>
      <c r="BC35" t="s">
        <v>118</v>
      </c>
      <c r="BD35" s="22"/>
      <c r="BE35" s="22"/>
      <c r="BF35" s="22"/>
      <c r="BG35" s="22"/>
      <c r="BH35" s="22"/>
      <c r="BI35" s="22"/>
      <c r="BJ35" s="22"/>
      <c r="BK35" s="22" t="s">
        <v>77</v>
      </c>
      <c r="BL35" t="s">
        <v>77</v>
      </c>
      <c r="BN35" s="22" t="s">
        <v>77</v>
      </c>
      <c r="BO35" s="22"/>
      <c r="BX35" t="s">
        <v>77</v>
      </c>
      <c r="BY35" t="s">
        <v>90</v>
      </c>
      <c r="CA35" t="s">
        <v>76</v>
      </c>
      <c r="CC35" t="s">
        <v>77</v>
      </c>
      <c r="CE35" t="s">
        <v>77</v>
      </c>
    </row>
    <row r="36" spans="1:83" x14ac:dyDescent="0.25">
      <c r="A36">
        <v>1626</v>
      </c>
      <c r="B36" t="s">
        <v>58</v>
      </c>
      <c r="C36" t="s">
        <v>16</v>
      </c>
      <c r="D36" t="s">
        <v>210</v>
      </c>
      <c r="E36">
        <v>65000</v>
      </c>
      <c r="F36">
        <v>71465</v>
      </c>
      <c r="G36" t="s">
        <v>65</v>
      </c>
      <c r="H36">
        <f t="shared" si="0"/>
        <v>0</v>
      </c>
      <c r="I36">
        <v>0</v>
      </c>
      <c r="J36">
        <v>70.27356048415308</v>
      </c>
      <c r="K36">
        <v>10.185405443223956</v>
      </c>
      <c r="L36">
        <v>19.541034072622963</v>
      </c>
      <c r="M36">
        <v>0</v>
      </c>
      <c r="N36">
        <v>50221</v>
      </c>
      <c r="O36">
        <v>7279</v>
      </c>
      <c r="P36">
        <v>13965</v>
      </c>
      <c r="Q36" t="s">
        <v>76</v>
      </c>
      <c r="S36">
        <v>55</v>
      </c>
      <c r="T36">
        <v>55</v>
      </c>
      <c r="U36">
        <v>46</v>
      </c>
      <c r="V36" t="s">
        <v>76</v>
      </c>
      <c r="W36" t="s">
        <v>90</v>
      </c>
      <c r="X36" t="s">
        <v>90</v>
      </c>
      <c r="Z36">
        <v>0</v>
      </c>
      <c r="AA36" s="11"/>
      <c r="AB36" s="11"/>
      <c r="AC36" s="11"/>
      <c r="AD36" s="11"/>
      <c r="AE36" s="11"/>
      <c r="AF36" s="11"/>
      <c r="AG36" s="11"/>
      <c r="AH36" s="11"/>
      <c r="AI36" s="11"/>
      <c r="AJ36" s="11"/>
      <c r="AK36" s="11"/>
      <c r="AL36" s="11"/>
      <c r="AM36" s="11" t="s">
        <v>77</v>
      </c>
      <c r="AO36" t="s">
        <v>64</v>
      </c>
      <c r="AP36">
        <v>0</v>
      </c>
      <c r="AQ36">
        <v>0</v>
      </c>
      <c r="AR36">
        <v>31.281769473828824</v>
      </c>
      <c r="AS36">
        <v>68.718230526171169</v>
      </c>
      <c r="AT36">
        <v>0</v>
      </c>
      <c r="AU36">
        <v>0</v>
      </c>
      <c r="AV36">
        <v>0</v>
      </c>
      <c r="AW36">
        <v>2277</v>
      </c>
      <c r="AX36">
        <v>5001.9999999999991</v>
      </c>
      <c r="AY36">
        <v>0</v>
      </c>
      <c r="AZ36" t="s">
        <v>76</v>
      </c>
      <c r="BB36">
        <v>0</v>
      </c>
      <c r="BC36" t="s">
        <v>118</v>
      </c>
      <c r="BD36" s="22"/>
      <c r="BE36" s="22"/>
      <c r="BF36" s="22"/>
      <c r="BG36" s="22"/>
      <c r="BH36" s="22"/>
      <c r="BI36" s="22"/>
      <c r="BJ36" s="22" t="s">
        <v>64</v>
      </c>
      <c r="BK36" s="22" t="s">
        <v>76</v>
      </c>
      <c r="BL36" t="s">
        <v>63</v>
      </c>
      <c r="BN36" s="22" t="s">
        <v>77</v>
      </c>
      <c r="BO36" s="22"/>
      <c r="BX36" t="s">
        <v>77</v>
      </c>
      <c r="BY36" t="s">
        <v>77</v>
      </c>
      <c r="CA36" t="s">
        <v>201</v>
      </c>
      <c r="CC36" t="s">
        <v>77</v>
      </c>
      <c r="CE36" t="s">
        <v>77</v>
      </c>
    </row>
    <row r="37" spans="1:83" x14ac:dyDescent="0.25">
      <c r="A37">
        <v>1627</v>
      </c>
      <c r="B37" t="s">
        <v>59</v>
      </c>
      <c r="C37" t="s">
        <v>16</v>
      </c>
      <c r="D37" t="s">
        <v>210</v>
      </c>
      <c r="E37">
        <v>56000</v>
      </c>
      <c r="F37">
        <v>49077</v>
      </c>
      <c r="G37" t="s">
        <v>65</v>
      </c>
      <c r="H37">
        <f t="shared" si="0"/>
        <v>0</v>
      </c>
      <c r="I37">
        <v>0</v>
      </c>
      <c r="J37">
        <v>0</v>
      </c>
      <c r="K37">
        <v>100</v>
      </c>
      <c r="L37">
        <v>0</v>
      </c>
      <c r="M37">
        <v>0</v>
      </c>
      <c r="N37">
        <v>0</v>
      </c>
      <c r="O37">
        <v>49077</v>
      </c>
      <c r="P37">
        <v>0</v>
      </c>
      <c r="Q37" t="s">
        <v>76</v>
      </c>
      <c r="R37" t="s">
        <v>64</v>
      </c>
      <c r="S37">
        <v>43</v>
      </c>
      <c r="T37">
        <v>43</v>
      </c>
      <c r="U37">
        <v>43</v>
      </c>
      <c r="V37" t="s">
        <v>76</v>
      </c>
      <c r="W37" t="s">
        <v>89</v>
      </c>
      <c r="X37" t="s">
        <v>89</v>
      </c>
      <c r="Z37">
        <v>0</v>
      </c>
      <c r="AA37" s="12"/>
      <c r="AB37" s="12"/>
      <c r="AC37" s="12"/>
      <c r="AD37" s="12"/>
      <c r="AE37" s="12"/>
      <c r="AF37" s="12"/>
      <c r="AG37" s="12"/>
      <c r="AH37" s="12"/>
      <c r="AI37" s="12"/>
      <c r="AJ37" s="12"/>
      <c r="AK37" s="12"/>
      <c r="AL37" s="12"/>
      <c r="AM37" s="12" t="s">
        <v>118</v>
      </c>
      <c r="AO37" t="s">
        <v>64</v>
      </c>
      <c r="AP37" s="11"/>
      <c r="AQ37" s="11"/>
      <c r="AR37" s="11"/>
      <c r="AS37" s="11"/>
      <c r="AT37" s="11"/>
      <c r="AU37" s="11"/>
      <c r="AV37" s="11"/>
      <c r="AW37" s="11"/>
      <c r="AX37" s="11"/>
      <c r="AY37" s="11"/>
      <c r="AZ37" s="11" t="s">
        <v>77</v>
      </c>
      <c r="BB37">
        <v>0</v>
      </c>
      <c r="BC37" t="s">
        <v>118</v>
      </c>
      <c r="BD37" s="22"/>
      <c r="BE37" s="22"/>
      <c r="BF37" s="22"/>
      <c r="BG37" s="22"/>
      <c r="BH37" s="22"/>
      <c r="BI37" s="22"/>
      <c r="BJ37" s="22" t="s">
        <v>64</v>
      </c>
      <c r="BK37" s="22" t="s">
        <v>76</v>
      </c>
      <c r="BL37" t="s">
        <v>63</v>
      </c>
      <c r="BN37" s="22" t="s">
        <v>77</v>
      </c>
      <c r="BO37" s="22"/>
      <c r="BX37" t="s">
        <v>77</v>
      </c>
      <c r="BY37" t="s">
        <v>90</v>
      </c>
      <c r="CA37" t="s">
        <v>76</v>
      </c>
      <c r="CC37" t="s">
        <v>77</v>
      </c>
      <c r="CE37" t="s">
        <v>77</v>
      </c>
    </row>
    <row r="38" spans="1:83" x14ac:dyDescent="0.25">
      <c r="A38">
        <v>1628</v>
      </c>
      <c r="B38" t="s">
        <v>58</v>
      </c>
      <c r="C38" t="s">
        <v>16</v>
      </c>
      <c r="D38" t="s">
        <v>210</v>
      </c>
      <c r="E38">
        <v>62809</v>
      </c>
      <c r="F38">
        <v>48063</v>
      </c>
      <c r="G38" t="s">
        <v>65</v>
      </c>
      <c r="H38">
        <f t="shared" si="0"/>
        <v>0</v>
      </c>
      <c r="I38">
        <v>15</v>
      </c>
      <c r="J38">
        <v>80</v>
      </c>
      <c r="K38">
        <v>5</v>
      </c>
      <c r="L38">
        <v>0</v>
      </c>
      <c r="M38">
        <v>7209.45</v>
      </c>
      <c r="N38">
        <v>38450.400000000001</v>
      </c>
      <c r="O38">
        <v>2403.15</v>
      </c>
      <c r="P38">
        <v>0</v>
      </c>
      <c r="Q38" t="s">
        <v>76</v>
      </c>
      <c r="S38">
        <v>60</v>
      </c>
      <c r="T38">
        <v>60</v>
      </c>
      <c r="U38">
        <v>60</v>
      </c>
      <c r="V38" t="s">
        <v>76</v>
      </c>
      <c r="W38" t="s">
        <v>89</v>
      </c>
      <c r="X38" t="s">
        <v>89</v>
      </c>
      <c r="Z38">
        <v>7209.45</v>
      </c>
      <c r="AA38">
        <v>5</v>
      </c>
      <c r="AB38">
        <v>0</v>
      </c>
      <c r="AC38">
        <v>75</v>
      </c>
      <c r="AD38">
        <v>0</v>
      </c>
      <c r="AE38">
        <v>0</v>
      </c>
      <c r="AF38">
        <v>20</v>
      </c>
      <c r="AG38">
        <v>360.47250000000003</v>
      </c>
      <c r="AH38">
        <v>0</v>
      </c>
      <c r="AI38">
        <v>5407.0875000000005</v>
      </c>
      <c r="AJ38">
        <v>0</v>
      </c>
      <c r="AK38">
        <v>0</v>
      </c>
      <c r="AL38">
        <v>1441.89</v>
      </c>
      <c r="AM38" s="18" t="s">
        <v>76</v>
      </c>
      <c r="AO38" t="s">
        <v>63</v>
      </c>
      <c r="AP38" s="11"/>
      <c r="AQ38" s="11"/>
      <c r="AR38" s="11"/>
      <c r="AS38" s="11"/>
      <c r="AT38" s="11"/>
      <c r="AU38" s="11"/>
      <c r="AV38" s="11"/>
      <c r="AW38" s="11"/>
      <c r="AX38" s="11"/>
      <c r="AY38" s="11"/>
      <c r="AZ38" s="11" t="s">
        <v>77</v>
      </c>
      <c r="BC38" t="s">
        <v>77</v>
      </c>
      <c r="BD38" s="22"/>
      <c r="BE38" s="22"/>
      <c r="BF38" s="22"/>
      <c r="BG38" s="22"/>
      <c r="BH38" s="22"/>
      <c r="BI38" s="22"/>
      <c r="BJ38" s="22"/>
      <c r="BK38" s="22" t="s">
        <v>77</v>
      </c>
      <c r="BL38" t="s">
        <v>77</v>
      </c>
      <c r="BN38" s="22" t="s">
        <v>77</v>
      </c>
      <c r="BO38" s="22"/>
      <c r="BX38" t="s">
        <v>77</v>
      </c>
      <c r="BY38" t="s">
        <v>77</v>
      </c>
      <c r="CA38" t="s">
        <v>201</v>
      </c>
      <c r="CC38" t="s">
        <v>77</v>
      </c>
      <c r="CE38" t="s">
        <v>77</v>
      </c>
    </row>
    <row r="39" spans="1:83" x14ac:dyDescent="0.25">
      <c r="A39">
        <v>1630</v>
      </c>
      <c r="B39" t="s">
        <v>58</v>
      </c>
      <c r="C39" t="s">
        <v>16</v>
      </c>
      <c r="D39" t="s">
        <v>210</v>
      </c>
      <c r="E39">
        <v>120000</v>
      </c>
      <c r="F39">
        <v>127571</v>
      </c>
      <c r="G39" t="s">
        <v>65</v>
      </c>
      <c r="I39" s="11"/>
      <c r="J39" s="11"/>
      <c r="K39" s="11"/>
      <c r="L39" s="11"/>
      <c r="M39" s="11"/>
      <c r="N39" s="11"/>
      <c r="O39" s="11"/>
      <c r="P39" s="11"/>
      <c r="Q39" s="11" t="s">
        <v>77</v>
      </c>
      <c r="R39" s="11"/>
      <c r="V39" t="s">
        <v>77</v>
      </c>
      <c r="W39" t="s">
        <v>89</v>
      </c>
      <c r="X39" t="s">
        <v>89</v>
      </c>
      <c r="Z39" s="11"/>
      <c r="AA39" s="11"/>
      <c r="AB39" s="11"/>
      <c r="AC39" s="11"/>
      <c r="AD39" s="11"/>
      <c r="AE39" s="11"/>
      <c r="AF39" s="11"/>
      <c r="AG39" s="11"/>
      <c r="AH39" s="11"/>
      <c r="AI39" s="11"/>
      <c r="AJ39" s="11"/>
      <c r="AK39" s="11"/>
      <c r="AL39" s="11"/>
      <c r="AM39" s="11" t="s">
        <v>77</v>
      </c>
      <c r="AO39" t="s">
        <v>64</v>
      </c>
      <c r="AP39" s="11"/>
      <c r="AQ39" s="11"/>
      <c r="AR39" s="11"/>
      <c r="AS39" s="11"/>
      <c r="AT39" s="11"/>
      <c r="AU39" s="11"/>
      <c r="AV39" s="11"/>
      <c r="AW39" s="11"/>
      <c r="AX39" s="11"/>
      <c r="AY39" s="11"/>
      <c r="AZ39" s="11" t="s">
        <v>77</v>
      </c>
      <c r="BC39" t="s">
        <v>77</v>
      </c>
      <c r="BD39" s="22"/>
      <c r="BE39" s="22"/>
      <c r="BF39" s="22"/>
      <c r="BG39" s="22"/>
      <c r="BH39" s="22"/>
      <c r="BI39" s="22"/>
      <c r="BJ39" s="22"/>
      <c r="BK39" s="22" t="s">
        <v>77</v>
      </c>
      <c r="BL39" t="s">
        <v>77</v>
      </c>
      <c r="BN39" s="22" t="s">
        <v>77</v>
      </c>
      <c r="BO39" s="22"/>
      <c r="BX39" t="s">
        <v>77</v>
      </c>
      <c r="BY39" t="s">
        <v>90</v>
      </c>
      <c r="CA39" t="s">
        <v>76</v>
      </c>
      <c r="CC39" t="s">
        <v>77</v>
      </c>
      <c r="CE39" t="s">
        <v>77</v>
      </c>
    </row>
    <row r="40" spans="1:83" x14ac:dyDescent="0.25">
      <c r="A40">
        <v>1633</v>
      </c>
      <c r="B40" t="s">
        <v>58</v>
      </c>
      <c r="C40" t="s">
        <v>16</v>
      </c>
      <c r="D40" t="s">
        <v>210</v>
      </c>
      <c r="E40">
        <v>75000</v>
      </c>
      <c r="F40">
        <v>65000</v>
      </c>
      <c r="G40" t="s">
        <v>65</v>
      </c>
      <c r="H40">
        <f t="shared" si="0"/>
        <v>0</v>
      </c>
      <c r="I40">
        <v>1</v>
      </c>
      <c r="J40">
        <v>90</v>
      </c>
      <c r="K40">
        <v>0</v>
      </c>
      <c r="L40">
        <v>9</v>
      </c>
      <c r="M40">
        <v>650</v>
      </c>
      <c r="N40">
        <v>58500</v>
      </c>
      <c r="O40">
        <v>0</v>
      </c>
      <c r="P40">
        <v>5850</v>
      </c>
      <c r="Q40" t="s">
        <v>76</v>
      </c>
      <c r="S40">
        <v>40</v>
      </c>
      <c r="T40">
        <v>10</v>
      </c>
      <c r="U40">
        <v>0</v>
      </c>
      <c r="V40" t="s">
        <v>76</v>
      </c>
      <c r="W40" t="s">
        <v>89</v>
      </c>
      <c r="X40" t="s">
        <v>89</v>
      </c>
      <c r="AA40" s="12"/>
      <c r="AB40" s="12"/>
      <c r="AC40" s="12"/>
      <c r="AD40" s="12"/>
      <c r="AE40" s="12"/>
      <c r="AF40" s="12"/>
      <c r="AG40" s="12"/>
      <c r="AH40" s="12"/>
      <c r="AI40" s="12"/>
      <c r="AJ40" s="12"/>
      <c r="AK40" s="12"/>
      <c r="AL40" s="12"/>
      <c r="AM40" s="12" t="s">
        <v>118</v>
      </c>
      <c r="AO40" t="s">
        <v>63</v>
      </c>
      <c r="AP40" s="11"/>
      <c r="AQ40" s="11"/>
      <c r="AR40" s="11"/>
      <c r="AS40" s="11"/>
      <c r="AT40" s="11"/>
      <c r="AU40" s="11"/>
      <c r="AV40" s="11"/>
      <c r="AW40" s="11"/>
      <c r="AX40" s="11"/>
      <c r="AY40" s="11"/>
      <c r="AZ40" s="11" t="s">
        <v>77</v>
      </c>
      <c r="BA40" t="s">
        <v>64</v>
      </c>
      <c r="BC40" t="s">
        <v>77</v>
      </c>
      <c r="BD40" s="22"/>
      <c r="BE40" s="22"/>
      <c r="BF40" s="22"/>
      <c r="BG40" s="22"/>
      <c r="BH40" s="22"/>
      <c r="BI40" s="22"/>
      <c r="BJ40" s="22"/>
      <c r="BK40" s="22" t="s">
        <v>77</v>
      </c>
      <c r="BL40" t="s">
        <v>77</v>
      </c>
      <c r="BN40" s="22" t="s">
        <v>77</v>
      </c>
      <c r="BO40" s="22"/>
      <c r="BX40" t="s">
        <v>77</v>
      </c>
      <c r="BY40" t="s">
        <v>77</v>
      </c>
      <c r="CA40" t="s">
        <v>201</v>
      </c>
      <c r="CC40" t="s">
        <v>77</v>
      </c>
      <c r="CE40" t="s">
        <v>77</v>
      </c>
    </row>
    <row r="41" spans="1:83" x14ac:dyDescent="0.25">
      <c r="A41">
        <v>1652</v>
      </c>
      <c r="B41" t="s">
        <v>59</v>
      </c>
      <c r="C41" t="s">
        <v>44</v>
      </c>
      <c r="D41" t="s">
        <v>210</v>
      </c>
      <c r="F41">
        <v>12000</v>
      </c>
      <c r="G41" t="s">
        <v>65</v>
      </c>
      <c r="H41">
        <f t="shared" si="0"/>
        <v>0</v>
      </c>
      <c r="I41">
        <v>0</v>
      </c>
      <c r="J41">
        <v>99</v>
      </c>
      <c r="K41">
        <v>0</v>
      </c>
      <c r="L41">
        <v>1</v>
      </c>
      <c r="M41">
        <v>0</v>
      </c>
      <c r="N41">
        <v>11880</v>
      </c>
      <c r="O41">
        <v>0</v>
      </c>
      <c r="P41">
        <v>120</v>
      </c>
      <c r="Q41" t="s">
        <v>76</v>
      </c>
      <c r="S41">
        <v>42.5</v>
      </c>
      <c r="T41">
        <v>42.5</v>
      </c>
      <c r="U41">
        <v>42.5</v>
      </c>
      <c r="V41" t="s">
        <v>76</v>
      </c>
      <c r="W41" t="s">
        <v>89</v>
      </c>
      <c r="X41" t="s">
        <v>89</v>
      </c>
      <c r="Z41">
        <v>0</v>
      </c>
      <c r="AA41" s="11"/>
      <c r="AB41" s="11"/>
      <c r="AC41" s="11"/>
      <c r="AD41" s="11"/>
      <c r="AE41" s="11"/>
      <c r="AF41" s="11"/>
      <c r="AG41" s="11"/>
      <c r="AH41" s="11"/>
      <c r="AI41" s="11"/>
      <c r="AJ41" s="11"/>
      <c r="AK41" s="11"/>
      <c r="AL41" s="11"/>
      <c r="AM41" s="11" t="s">
        <v>77</v>
      </c>
      <c r="AO41" t="s">
        <v>63</v>
      </c>
      <c r="AP41" s="11"/>
      <c r="AQ41" s="11"/>
      <c r="AR41" s="11"/>
      <c r="AS41" s="11"/>
      <c r="AT41" s="11"/>
      <c r="AU41" s="11"/>
      <c r="AV41" s="11"/>
      <c r="AW41" s="11"/>
      <c r="AX41" s="11"/>
      <c r="AY41" s="11"/>
      <c r="AZ41" s="11" t="s">
        <v>77</v>
      </c>
      <c r="BC41" t="s">
        <v>77</v>
      </c>
      <c r="BD41" s="22"/>
      <c r="BE41" s="22"/>
      <c r="BF41" s="22"/>
      <c r="BG41" s="22"/>
      <c r="BH41" s="22"/>
      <c r="BI41" s="22"/>
      <c r="BJ41" s="22"/>
      <c r="BK41" s="22" t="s">
        <v>77</v>
      </c>
      <c r="BL41" t="s">
        <v>77</v>
      </c>
      <c r="BN41" s="22" t="s">
        <v>77</v>
      </c>
      <c r="BO41" s="22"/>
      <c r="BX41" t="s">
        <v>77</v>
      </c>
      <c r="BY41" t="s">
        <v>90</v>
      </c>
      <c r="CA41" t="s">
        <v>76</v>
      </c>
      <c r="CC41" t="s">
        <v>77</v>
      </c>
      <c r="CE41" t="s">
        <v>77</v>
      </c>
    </row>
    <row r="42" spans="1:83" x14ac:dyDescent="0.25">
      <c r="A42">
        <v>1657</v>
      </c>
      <c r="B42" t="s">
        <v>58</v>
      </c>
      <c r="C42" t="s">
        <v>44</v>
      </c>
      <c r="D42" t="s">
        <v>210</v>
      </c>
      <c r="E42">
        <v>60000</v>
      </c>
      <c r="F42">
        <v>30000</v>
      </c>
      <c r="G42" t="s">
        <v>65</v>
      </c>
      <c r="H42">
        <f t="shared" si="0"/>
        <v>0</v>
      </c>
      <c r="I42">
        <v>4.99</v>
      </c>
      <c r="J42">
        <v>93</v>
      </c>
      <c r="K42">
        <v>0.01</v>
      </c>
      <c r="L42">
        <v>2</v>
      </c>
      <c r="M42">
        <v>1497</v>
      </c>
      <c r="N42">
        <v>27900</v>
      </c>
      <c r="O42">
        <v>3</v>
      </c>
      <c r="P42">
        <v>600</v>
      </c>
      <c r="Q42" t="s">
        <v>76</v>
      </c>
      <c r="S42">
        <v>46.75</v>
      </c>
      <c r="V42" t="s">
        <v>76</v>
      </c>
      <c r="W42" t="s">
        <v>89</v>
      </c>
      <c r="X42" t="s">
        <v>89</v>
      </c>
      <c r="AA42" s="11"/>
      <c r="AB42" s="11"/>
      <c r="AC42" s="11"/>
      <c r="AD42" s="11"/>
      <c r="AE42" s="11"/>
      <c r="AF42" s="11"/>
      <c r="AG42" s="11"/>
      <c r="AH42" s="11"/>
      <c r="AI42" s="11"/>
      <c r="AJ42" s="11"/>
      <c r="AK42" s="11"/>
      <c r="AL42" s="11"/>
      <c r="AM42" s="11" t="s">
        <v>77</v>
      </c>
      <c r="AO42" t="s">
        <v>63</v>
      </c>
      <c r="AP42" s="11"/>
      <c r="AQ42" s="11"/>
      <c r="AR42" s="11"/>
      <c r="AS42" s="11"/>
      <c r="AT42" s="11"/>
      <c r="AU42" s="11"/>
      <c r="AV42" s="11"/>
      <c r="AW42" s="11"/>
      <c r="AX42" s="11"/>
      <c r="AY42" s="11"/>
      <c r="AZ42" s="11" t="s">
        <v>77</v>
      </c>
      <c r="BC42" t="s">
        <v>77</v>
      </c>
      <c r="BD42" s="22"/>
      <c r="BE42" s="22"/>
      <c r="BF42" s="22"/>
      <c r="BG42" s="22"/>
      <c r="BH42" s="22"/>
      <c r="BI42" s="22"/>
      <c r="BJ42" s="22"/>
      <c r="BK42" s="22" t="s">
        <v>77</v>
      </c>
      <c r="BL42" t="s">
        <v>77</v>
      </c>
      <c r="BN42" s="22" t="s">
        <v>77</v>
      </c>
      <c r="BO42" s="22"/>
      <c r="BX42" t="s">
        <v>77</v>
      </c>
      <c r="BY42" t="s">
        <v>90</v>
      </c>
      <c r="CA42" t="s">
        <v>76</v>
      </c>
      <c r="CC42" t="s">
        <v>77</v>
      </c>
      <c r="CE42" t="s">
        <v>77</v>
      </c>
    </row>
    <row r="43" spans="1:83" x14ac:dyDescent="0.25">
      <c r="A43">
        <v>1662</v>
      </c>
      <c r="B43" t="s">
        <v>58</v>
      </c>
      <c r="C43" t="s">
        <v>44</v>
      </c>
      <c r="D43" t="s">
        <v>210</v>
      </c>
      <c r="E43">
        <v>50000</v>
      </c>
      <c r="F43">
        <v>107000</v>
      </c>
      <c r="G43" t="s">
        <v>65</v>
      </c>
      <c r="H43">
        <f t="shared" si="0"/>
        <v>0</v>
      </c>
      <c r="I43">
        <v>0</v>
      </c>
      <c r="J43">
        <v>97.523364485981318</v>
      </c>
      <c r="K43">
        <v>2.4766355140186915</v>
      </c>
      <c r="L43">
        <v>0</v>
      </c>
      <c r="M43">
        <v>0</v>
      </c>
      <c r="N43">
        <v>104350.00000000001</v>
      </c>
      <c r="O43">
        <v>2650</v>
      </c>
      <c r="P43">
        <v>0</v>
      </c>
      <c r="Q43" t="s">
        <v>76</v>
      </c>
      <c r="S43">
        <v>41.75</v>
      </c>
      <c r="T43">
        <v>3</v>
      </c>
      <c r="U43">
        <v>37.5</v>
      </c>
      <c r="V43" t="s">
        <v>76</v>
      </c>
      <c r="W43" t="s">
        <v>90</v>
      </c>
      <c r="X43" t="s">
        <v>90</v>
      </c>
      <c r="Z43">
        <v>0</v>
      </c>
      <c r="AA43" s="11"/>
      <c r="AB43" s="11"/>
      <c r="AC43" s="11"/>
      <c r="AD43" s="11"/>
      <c r="AE43" s="11"/>
      <c r="AF43" s="11"/>
      <c r="AG43" s="11"/>
      <c r="AH43" s="11"/>
      <c r="AI43" s="11"/>
      <c r="AJ43" s="11"/>
      <c r="AK43" s="11"/>
      <c r="AL43" s="11"/>
      <c r="AM43" s="11" t="s">
        <v>77</v>
      </c>
      <c r="AO43" t="s">
        <v>64</v>
      </c>
      <c r="AP43">
        <v>0</v>
      </c>
      <c r="AQ43">
        <v>0</v>
      </c>
      <c r="AR43">
        <v>0</v>
      </c>
      <c r="AS43">
        <v>100</v>
      </c>
      <c r="AT43">
        <v>0</v>
      </c>
      <c r="AU43">
        <v>0</v>
      </c>
      <c r="AV43">
        <v>0</v>
      </c>
      <c r="AW43">
        <v>0</v>
      </c>
      <c r="AX43">
        <v>2650</v>
      </c>
      <c r="AY43">
        <v>0</v>
      </c>
      <c r="AZ43" t="s">
        <v>76</v>
      </c>
      <c r="BB43">
        <v>0</v>
      </c>
      <c r="BC43" t="s">
        <v>118</v>
      </c>
      <c r="BD43" s="22">
        <v>5</v>
      </c>
      <c r="BE43" s="22">
        <v>1500</v>
      </c>
      <c r="BF43" s="22">
        <v>5</v>
      </c>
      <c r="BG43" s="22">
        <v>500</v>
      </c>
      <c r="BH43" s="22"/>
      <c r="BI43" s="22"/>
      <c r="BJ43" s="22"/>
      <c r="BK43" s="22" t="s">
        <v>76</v>
      </c>
      <c r="BL43" t="s">
        <v>63</v>
      </c>
      <c r="BN43" s="22" t="s">
        <v>77</v>
      </c>
      <c r="BO43" s="22"/>
      <c r="BX43" t="s">
        <v>77</v>
      </c>
      <c r="BY43" t="s">
        <v>90</v>
      </c>
      <c r="CA43" t="s">
        <v>76</v>
      </c>
      <c r="CC43" t="s">
        <v>77</v>
      </c>
      <c r="CE43" t="s">
        <v>77</v>
      </c>
    </row>
    <row r="44" spans="1:83" x14ac:dyDescent="0.25">
      <c r="A44">
        <v>1665</v>
      </c>
      <c r="B44" t="s">
        <v>58</v>
      </c>
      <c r="C44" t="s">
        <v>44</v>
      </c>
      <c r="D44" t="s">
        <v>210</v>
      </c>
      <c r="E44">
        <v>100000</v>
      </c>
      <c r="F44">
        <v>67000</v>
      </c>
      <c r="G44" t="s">
        <v>65</v>
      </c>
      <c r="H44">
        <f t="shared" si="0"/>
        <v>0</v>
      </c>
      <c r="I44">
        <v>2</v>
      </c>
      <c r="J44">
        <v>98</v>
      </c>
      <c r="K44">
        <v>0</v>
      </c>
      <c r="L44">
        <v>0</v>
      </c>
      <c r="M44">
        <v>1340</v>
      </c>
      <c r="N44">
        <v>65660</v>
      </c>
      <c r="O44">
        <v>0</v>
      </c>
      <c r="P44">
        <v>0</v>
      </c>
      <c r="Q44" t="s">
        <v>76</v>
      </c>
      <c r="S44">
        <v>47.5</v>
      </c>
      <c r="T44">
        <v>47.5</v>
      </c>
      <c r="U44">
        <v>47.5</v>
      </c>
      <c r="V44" t="s">
        <v>76</v>
      </c>
      <c r="W44" t="s">
        <v>89</v>
      </c>
      <c r="X44" t="s">
        <v>89</v>
      </c>
      <c r="Z44">
        <v>1340</v>
      </c>
      <c r="AA44">
        <v>2</v>
      </c>
      <c r="AB44">
        <v>1</v>
      </c>
      <c r="AC44">
        <v>55</v>
      </c>
      <c r="AD44">
        <v>10</v>
      </c>
      <c r="AE44">
        <v>10</v>
      </c>
      <c r="AF44">
        <v>22</v>
      </c>
      <c r="AG44">
        <v>26.8</v>
      </c>
      <c r="AH44">
        <v>13.4</v>
      </c>
      <c r="AI44">
        <v>737</v>
      </c>
      <c r="AJ44">
        <v>134</v>
      </c>
      <c r="AK44">
        <v>134</v>
      </c>
      <c r="AL44">
        <v>294.8</v>
      </c>
      <c r="AM44" s="18" t="s">
        <v>76</v>
      </c>
      <c r="AO44" t="s">
        <v>63</v>
      </c>
      <c r="AP44" s="11"/>
      <c r="AQ44" s="11"/>
      <c r="AR44" s="11"/>
      <c r="AS44" s="11"/>
      <c r="AT44" s="11"/>
      <c r="AU44" s="11"/>
      <c r="AV44" s="11"/>
      <c r="AW44" s="11"/>
      <c r="AX44" s="11"/>
      <c r="AY44" s="11"/>
      <c r="AZ44" s="11" t="s">
        <v>77</v>
      </c>
      <c r="BC44" t="s">
        <v>77</v>
      </c>
      <c r="BD44" s="22"/>
      <c r="BE44" s="22"/>
      <c r="BF44" s="22"/>
      <c r="BG44" s="22"/>
      <c r="BH44" s="22"/>
      <c r="BI44" s="22"/>
      <c r="BJ44" s="22"/>
      <c r="BK44" s="22" t="s">
        <v>77</v>
      </c>
      <c r="BL44" t="s">
        <v>77</v>
      </c>
      <c r="BN44" s="22" t="s">
        <v>77</v>
      </c>
      <c r="BO44" s="22"/>
      <c r="BX44" t="s">
        <v>77</v>
      </c>
      <c r="BY44" t="s">
        <v>90</v>
      </c>
      <c r="CA44" t="s">
        <v>76</v>
      </c>
      <c r="CC44" t="s">
        <v>77</v>
      </c>
      <c r="CE44" t="s">
        <v>77</v>
      </c>
    </row>
    <row r="45" spans="1:83" x14ac:dyDescent="0.25">
      <c r="A45">
        <v>1876</v>
      </c>
      <c r="B45" t="s">
        <v>58</v>
      </c>
      <c r="C45" t="s">
        <v>27</v>
      </c>
      <c r="D45" t="s">
        <v>210</v>
      </c>
      <c r="E45">
        <v>32618</v>
      </c>
      <c r="F45">
        <v>59006</v>
      </c>
      <c r="G45" t="s">
        <v>65</v>
      </c>
      <c r="H45">
        <f t="shared" si="0"/>
        <v>0</v>
      </c>
      <c r="I45">
        <v>0</v>
      </c>
      <c r="J45">
        <v>95.380130834152453</v>
      </c>
      <c r="K45">
        <v>0.82025556723045112</v>
      </c>
      <c r="L45">
        <v>3.7996135986170896</v>
      </c>
      <c r="M45">
        <v>0</v>
      </c>
      <c r="N45">
        <v>56280</v>
      </c>
      <c r="O45">
        <v>484</v>
      </c>
      <c r="P45">
        <v>2242</v>
      </c>
      <c r="Q45" t="s">
        <v>76</v>
      </c>
      <c r="S45">
        <v>62</v>
      </c>
      <c r="V45" t="s">
        <v>76</v>
      </c>
      <c r="W45" t="s">
        <v>89</v>
      </c>
      <c r="X45" t="s">
        <v>89</v>
      </c>
      <c r="Z45">
        <v>0</v>
      </c>
      <c r="AA45" s="11"/>
      <c r="AB45" s="11"/>
      <c r="AC45" s="11"/>
      <c r="AD45" s="11"/>
      <c r="AE45" s="11"/>
      <c r="AF45" s="11"/>
      <c r="AG45" s="11"/>
      <c r="AH45" s="11"/>
      <c r="AI45" s="11"/>
      <c r="AJ45" s="11"/>
      <c r="AK45" s="11"/>
      <c r="AL45" s="11"/>
      <c r="AM45" s="11" t="s">
        <v>77</v>
      </c>
      <c r="AO45" t="s">
        <v>64</v>
      </c>
      <c r="AP45" s="11"/>
      <c r="AQ45" s="11"/>
      <c r="AR45" s="11"/>
      <c r="AS45" s="11"/>
      <c r="AT45" s="11"/>
      <c r="AU45" s="11"/>
      <c r="AV45" s="11"/>
      <c r="AW45" s="11"/>
      <c r="AX45" s="11"/>
      <c r="AY45" s="11"/>
      <c r="AZ45" s="11" t="s">
        <v>77</v>
      </c>
      <c r="BC45" t="s">
        <v>77</v>
      </c>
      <c r="BD45" s="22"/>
      <c r="BE45" s="22"/>
      <c r="BF45" s="22"/>
      <c r="BG45" s="22"/>
      <c r="BH45" s="22"/>
      <c r="BI45" s="22"/>
      <c r="BJ45" s="22"/>
      <c r="BK45" s="22" t="s">
        <v>77</v>
      </c>
      <c r="BL45" t="s">
        <v>77</v>
      </c>
      <c r="BN45" s="22" t="s">
        <v>77</v>
      </c>
      <c r="BO45" s="22"/>
      <c r="BX45" t="s">
        <v>77</v>
      </c>
      <c r="BY45" t="s">
        <v>90</v>
      </c>
      <c r="CA45" t="s">
        <v>76</v>
      </c>
      <c r="CC45" t="s">
        <v>77</v>
      </c>
      <c r="CE45" t="s">
        <v>77</v>
      </c>
    </row>
    <row r="46" spans="1:83" x14ac:dyDescent="0.25">
      <c r="A46">
        <v>1926</v>
      </c>
      <c r="B46" t="s">
        <v>59</v>
      </c>
      <c r="C46" t="s">
        <v>37</v>
      </c>
      <c r="D46" t="s">
        <v>210</v>
      </c>
      <c r="E46">
        <v>124000</v>
      </c>
      <c r="F46">
        <v>221742</v>
      </c>
      <c r="G46" t="s">
        <v>65</v>
      </c>
      <c r="H46">
        <f t="shared" si="0"/>
        <v>0</v>
      </c>
      <c r="I46">
        <v>0</v>
      </c>
      <c r="J46">
        <v>98.53072489650134</v>
      </c>
      <c r="K46">
        <v>1.4692751034986606</v>
      </c>
      <c r="L46">
        <v>0</v>
      </c>
      <c r="M46">
        <v>0</v>
      </c>
      <c r="N46">
        <v>218484</v>
      </c>
      <c r="O46">
        <v>3258</v>
      </c>
      <c r="P46">
        <v>0</v>
      </c>
      <c r="Q46" t="s">
        <v>76</v>
      </c>
      <c r="S46">
        <v>35</v>
      </c>
      <c r="T46">
        <v>35</v>
      </c>
      <c r="U46">
        <v>35</v>
      </c>
      <c r="V46" t="s">
        <v>76</v>
      </c>
      <c r="W46" t="s">
        <v>64</v>
      </c>
      <c r="X46" t="s">
        <v>64</v>
      </c>
      <c r="Z46">
        <v>0</v>
      </c>
      <c r="AA46" s="11"/>
      <c r="AB46" s="11"/>
      <c r="AC46" s="11"/>
      <c r="AD46" s="11"/>
      <c r="AE46" s="11"/>
      <c r="AF46" s="11"/>
      <c r="AG46" s="11"/>
      <c r="AH46" s="11"/>
      <c r="AI46" s="11"/>
      <c r="AJ46" s="11"/>
      <c r="AK46" s="11"/>
      <c r="AL46" s="11"/>
      <c r="AM46" s="11" t="s">
        <v>77</v>
      </c>
      <c r="AO46" t="s">
        <v>64</v>
      </c>
      <c r="AP46">
        <v>0</v>
      </c>
      <c r="AQ46">
        <v>0</v>
      </c>
      <c r="AR46">
        <v>0</v>
      </c>
      <c r="AS46">
        <v>100</v>
      </c>
      <c r="AT46">
        <v>0</v>
      </c>
      <c r="AU46">
        <v>0</v>
      </c>
      <c r="AV46">
        <v>0</v>
      </c>
      <c r="AW46">
        <v>0</v>
      </c>
      <c r="AX46">
        <v>3258</v>
      </c>
      <c r="AY46">
        <v>0</v>
      </c>
      <c r="AZ46" t="s">
        <v>76</v>
      </c>
      <c r="BB46">
        <v>1954.8</v>
      </c>
      <c r="BC46" t="s">
        <v>77</v>
      </c>
      <c r="BD46" s="22"/>
      <c r="BE46" s="22"/>
      <c r="BF46" s="22"/>
      <c r="BG46" s="22"/>
      <c r="BH46" s="22"/>
      <c r="BI46" s="22"/>
      <c r="BJ46" s="22" t="s">
        <v>64</v>
      </c>
      <c r="BK46" s="22" t="s">
        <v>77</v>
      </c>
      <c r="BL46" t="s">
        <v>63</v>
      </c>
      <c r="BN46" s="22" t="s">
        <v>77</v>
      </c>
      <c r="BO46" s="22"/>
      <c r="BX46" t="s">
        <v>77</v>
      </c>
      <c r="BY46" t="s">
        <v>90</v>
      </c>
      <c r="CA46" t="s">
        <v>76</v>
      </c>
      <c r="CC46" t="s">
        <v>77</v>
      </c>
      <c r="CE46" t="s">
        <v>77</v>
      </c>
    </row>
    <row r="47" spans="1:83" x14ac:dyDescent="0.25">
      <c r="A47">
        <v>1949</v>
      </c>
      <c r="B47" t="s">
        <v>59</v>
      </c>
      <c r="C47" t="s">
        <v>40</v>
      </c>
      <c r="D47" t="s">
        <v>210</v>
      </c>
      <c r="E47">
        <v>600000</v>
      </c>
      <c r="F47">
        <v>520000</v>
      </c>
      <c r="G47" t="s">
        <v>65</v>
      </c>
      <c r="H47">
        <f t="shared" si="0"/>
        <v>0</v>
      </c>
      <c r="I47">
        <v>0</v>
      </c>
      <c r="J47">
        <v>88.692307692307693</v>
      </c>
      <c r="K47">
        <v>0</v>
      </c>
      <c r="L47">
        <v>11.307692307692307</v>
      </c>
      <c r="M47">
        <v>0</v>
      </c>
      <c r="N47">
        <v>461200</v>
      </c>
      <c r="O47">
        <v>0</v>
      </c>
      <c r="P47">
        <v>58799.999999999993</v>
      </c>
      <c r="Q47" t="s">
        <v>76</v>
      </c>
      <c r="S47">
        <v>25.75</v>
      </c>
      <c r="V47" t="s">
        <v>76</v>
      </c>
      <c r="W47" t="s">
        <v>64</v>
      </c>
      <c r="X47" t="s">
        <v>64</v>
      </c>
      <c r="Z47">
        <v>0</v>
      </c>
      <c r="AA47" s="11"/>
      <c r="AB47" s="11"/>
      <c r="AC47" s="11"/>
      <c r="AD47" s="11"/>
      <c r="AE47" s="11"/>
      <c r="AF47" s="11"/>
      <c r="AG47" s="11"/>
      <c r="AH47" s="11"/>
      <c r="AI47" s="11"/>
      <c r="AJ47" s="11"/>
      <c r="AK47" s="11"/>
      <c r="AL47" s="11"/>
      <c r="AM47" s="11" t="s">
        <v>77</v>
      </c>
      <c r="AO47" t="s">
        <v>63</v>
      </c>
      <c r="AP47" s="11"/>
      <c r="AQ47" s="11"/>
      <c r="AR47" s="11"/>
      <c r="AS47" s="11"/>
      <c r="AT47" s="11"/>
      <c r="AU47" s="11"/>
      <c r="AV47" s="11"/>
      <c r="AW47" s="11"/>
      <c r="AX47" s="11"/>
      <c r="AY47" s="11"/>
      <c r="AZ47" s="11" t="s">
        <v>77</v>
      </c>
      <c r="BC47" t="s">
        <v>77</v>
      </c>
      <c r="BD47" s="22"/>
      <c r="BE47" s="22"/>
      <c r="BF47" s="22"/>
      <c r="BG47" s="22"/>
      <c r="BH47" s="22"/>
      <c r="BI47" s="22"/>
      <c r="BJ47" s="22"/>
      <c r="BK47" s="22" t="s">
        <v>77</v>
      </c>
      <c r="BL47" t="s">
        <v>77</v>
      </c>
      <c r="BN47" s="22" t="s">
        <v>77</v>
      </c>
      <c r="BO47" s="22"/>
      <c r="BX47" t="s">
        <v>77</v>
      </c>
      <c r="BY47" t="s">
        <v>90</v>
      </c>
      <c r="CA47" t="s">
        <v>76</v>
      </c>
      <c r="CC47" t="s">
        <v>77</v>
      </c>
      <c r="CE47" t="s">
        <v>77</v>
      </c>
    </row>
    <row r="48" spans="1:83" x14ac:dyDescent="0.25">
      <c r="A48">
        <v>1967</v>
      </c>
      <c r="B48" t="s">
        <v>59</v>
      </c>
      <c r="C48" t="s">
        <v>50</v>
      </c>
      <c r="D48" t="s">
        <v>210</v>
      </c>
      <c r="E48">
        <v>30000</v>
      </c>
      <c r="F48">
        <v>95598.26</v>
      </c>
      <c r="G48" t="s">
        <v>65</v>
      </c>
      <c r="H48">
        <f t="shared" si="0"/>
        <v>0</v>
      </c>
      <c r="I48">
        <v>27.317420241018624</v>
      </c>
      <c r="J48">
        <v>65.845180245169004</v>
      </c>
      <c r="K48">
        <v>6.8373995138123744</v>
      </c>
      <c r="L48">
        <v>0</v>
      </c>
      <c r="M48">
        <v>26114.978427301608</v>
      </c>
      <c r="N48">
        <v>62946.846608245301</v>
      </c>
      <c r="O48">
        <v>6536.4349644530894</v>
      </c>
      <c r="P48">
        <v>0</v>
      </c>
      <c r="Q48" t="s">
        <v>76</v>
      </c>
      <c r="R48" t="s">
        <v>64</v>
      </c>
      <c r="T48">
        <v>40</v>
      </c>
      <c r="U48">
        <v>40</v>
      </c>
      <c r="V48" t="s">
        <v>76</v>
      </c>
      <c r="W48" t="s">
        <v>64</v>
      </c>
      <c r="X48" t="s">
        <v>64</v>
      </c>
      <c r="Z48">
        <v>26114.978427301608</v>
      </c>
      <c r="AA48">
        <v>0</v>
      </c>
      <c r="AB48">
        <v>29.322115839594172</v>
      </c>
      <c r="AC48">
        <v>0</v>
      </c>
      <c r="AD48">
        <v>0</v>
      </c>
      <c r="AE48">
        <v>0</v>
      </c>
      <c r="AF48">
        <v>70.677884160405824</v>
      </c>
      <c r="AG48">
        <v>0</v>
      </c>
      <c r="AH48">
        <v>7657.4642259384063</v>
      </c>
      <c r="AI48">
        <v>0</v>
      </c>
      <c r="AJ48">
        <v>0</v>
      </c>
      <c r="AK48">
        <v>0</v>
      </c>
      <c r="AL48">
        <v>18457.514201363203</v>
      </c>
      <c r="AM48" s="18" t="s">
        <v>76</v>
      </c>
      <c r="AN48" t="s">
        <v>64</v>
      </c>
      <c r="AO48" t="s">
        <v>64</v>
      </c>
      <c r="AP48">
        <v>0</v>
      </c>
      <c r="AQ48">
        <v>0</v>
      </c>
      <c r="AR48">
        <v>0</v>
      </c>
      <c r="AS48">
        <v>100</v>
      </c>
      <c r="AT48">
        <v>0</v>
      </c>
      <c r="AU48">
        <v>0</v>
      </c>
      <c r="AV48">
        <v>0</v>
      </c>
      <c r="AW48">
        <v>0</v>
      </c>
      <c r="AX48">
        <v>6536.4349644530894</v>
      </c>
      <c r="AY48">
        <v>0</v>
      </c>
      <c r="AZ48" t="s">
        <v>76</v>
      </c>
      <c r="BB48">
        <v>0</v>
      </c>
      <c r="BC48" t="s">
        <v>118</v>
      </c>
      <c r="BD48" s="25"/>
      <c r="BE48" s="25"/>
      <c r="BF48" s="44">
        <v>22.802417056207958</v>
      </c>
      <c r="BG48" s="44">
        <v>197</v>
      </c>
      <c r="BH48" s="22"/>
      <c r="BI48" s="22"/>
      <c r="BJ48" s="22"/>
      <c r="BK48" s="22" t="s">
        <v>118</v>
      </c>
      <c r="BL48" t="s">
        <v>63</v>
      </c>
      <c r="BN48" s="22" t="s">
        <v>89</v>
      </c>
      <c r="BO48" s="22"/>
      <c r="BX48" t="s">
        <v>77</v>
      </c>
      <c r="BY48" t="s">
        <v>77</v>
      </c>
      <c r="CA48" t="s">
        <v>201</v>
      </c>
      <c r="CC48" t="s">
        <v>77</v>
      </c>
      <c r="CE48" t="s">
        <v>77</v>
      </c>
    </row>
    <row r="49" spans="1:83" x14ac:dyDescent="0.25">
      <c r="A49">
        <v>1982</v>
      </c>
      <c r="B49" t="s">
        <v>59</v>
      </c>
      <c r="C49" t="s">
        <v>50</v>
      </c>
      <c r="D49" t="s">
        <v>210</v>
      </c>
      <c r="E49">
        <v>150000</v>
      </c>
      <c r="F49">
        <v>296000</v>
      </c>
      <c r="G49" t="s">
        <v>65</v>
      </c>
      <c r="H49">
        <f t="shared" si="0"/>
        <v>0</v>
      </c>
      <c r="I49">
        <v>0</v>
      </c>
      <c r="J49">
        <v>95.270270270270274</v>
      </c>
      <c r="K49">
        <v>4.7297297297297298</v>
      </c>
      <c r="L49">
        <v>0</v>
      </c>
      <c r="M49">
        <v>0</v>
      </c>
      <c r="N49">
        <v>282000</v>
      </c>
      <c r="O49">
        <v>14000</v>
      </c>
      <c r="P49">
        <v>0</v>
      </c>
      <c r="Q49" t="s">
        <v>76</v>
      </c>
      <c r="S49">
        <v>30</v>
      </c>
      <c r="T49">
        <v>30</v>
      </c>
      <c r="U49">
        <v>30</v>
      </c>
      <c r="V49" t="s">
        <v>76</v>
      </c>
      <c r="W49" t="s">
        <v>64</v>
      </c>
      <c r="X49" t="s">
        <v>64</v>
      </c>
      <c r="Z49">
        <v>0</v>
      </c>
      <c r="AA49" s="11"/>
      <c r="AB49" s="11"/>
      <c r="AC49" s="11"/>
      <c r="AD49" s="11"/>
      <c r="AE49" s="11"/>
      <c r="AF49" s="11"/>
      <c r="AG49" s="11"/>
      <c r="AH49" s="11"/>
      <c r="AI49" s="11"/>
      <c r="AJ49" s="11"/>
      <c r="AK49" s="11"/>
      <c r="AL49" s="11"/>
      <c r="AM49" s="11" t="s">
        <v>77</v>
      </c>
      <c r="AO49" t="s">
        <v>64</v>
      </c>
      <c r="AP49">
        <v>40</v>
      </c>
      <c r="AQ49">
        <v>40</v>
      </c>
      <c r="AR49">
        <v>10</v>
      </c>
      <c r="AS49">
        <v>10</v>
      </c>
      <c r="AT49">
        <v>0</v>
      </c>
      <c r="AU49">
        <v>5600</v>
      </c>
      <c r="AV49">
        <v>5600</v>
      </c>
      <c r="AW49">
        <v>1400</v>
      </c>
      <c r="AX49">
        <v>1400</v>
      </c>
      <c r="AY49">
        <v>0</v>
      </c>
      <c r="AZ49" t="s">
        <v>76</v>
      </c>
      <c r="BB49">
        <v>14000</v>
      </c>
      <c r="BC49" t="s">
        <v>76</v>
      </c>
      <c r="BD49" s="22"/>
      <c r="BE49" s="25"/>
      <c r="BF49" s="25"/>
      <c r="BG49" s="25"/>
      <c r="BH49" s="25"/>
      <c r="BI49" s="25"/>
      <c r="BJ49" s="22" t="s">
        <v>64</v>
      </c>
      <c r="BK49" s="22" t="s">
        <v>76</v>
      </c>
      <c r="BL49" t="s">
        <v>63</v>
      </c>
      <c r="BN49" s="22" t="s">
        <v>77</v>
      </c>
      <c r="BO49" s="22">
        <v>0</v>
      </c>
      <c r="BW49" t="s">
        <v>64</v>
      </c>
      <c r="BX49" t="s">
        <v>65</v>
      </c>
      <c r="BY49" t="s">
        <v>63</v>
      </c>
      <c r="CA49" t="s">
        <v>76</v>
      </c>
      <c r="CC49" t="s">
        <v>77</v>
      </c>
      <c r="CE49" t="s">
        <v>77</v>
      </c>
    </row>
    <row r="50" spans="1:83" x14ac:dyDescent="0.25">
      <c r="A50">
        <v>1985</v>
      </c>
      <c r="B50" t="s">
        <v>58</v>
      </c>
      <c r="C50" t="s">
        <v>50</v>
      </c>
      <c r="D50" t="s">
        <v>210</v>
      </c>
      <c r="E50">
        <v>65664</v>
      </c>
      <c r="F50">
        <v>82197</v>
      </c>
      <c r="G50" t="s">
        <v>65</v>
      </c>
      <c r="H50">
        <f t="shared" si="0"/>
        <v>0</v>
      </c>
      <c r="I50">
        <v>0</v>
      </c>
      <c r="J50">
        <v>94.5</v>
      </c>
      <c r="K50">
        <v>4.5</v>
      </c>
      <c r="L50">
        <v>1</v>
      </c>
      <c r="M50">
        <v>0</v>
      </c>
      <c r="N50">
        <v>77676.165000000008</v>
      </c>
      <c r="O50">
        <v>3698.8650000000002</v>
      </c>
      <c r="P50">
        <v>821.97</v>
      </c>
      <c r="Q50" t="s">
        <v>76</v>
      </c>
      <c r="V50" t="s">
        <v>77</v>
      </c>
      <c r="W50" t="s">
        <v>89</v>
      </c>
      <c r="X50" t="s">
        <v>89</v>
      </c>
      <c r="Z50">
        <v>0</v>
      </c>
      <c r="AA50" s="11"/>
      <c r="AB50" s="11"/>
      <c r="AC50" s="11"/>
      <c r="AD50" s="11"/>
      <c r="AE50" s="11"/>
      <c r="AF50" s="11"/>
      <c r="AG50" s="11"/>
      <c r="AH50" s="11"/>
      <c r="AI50" s="11"/>
      <c r="AJ50" s="11"/>
      <c r="AK50" s="11"/>
      <c r="AL50" s="11"/>
      <c r="AM50" s="11" t="s">
        <v>77</v>
      </c>
      <c r="AO50" t="s">
        <v>64</v>
      </c>
      <c r="AP50">
        <v>0</v>
      </c>
      <c r="AQ50">
        <v>0</v>
      </c>
      <c r="AR50">
        <v>0</v>
      </c>
      <c r="AS50">
        <v>100</v>
      </c>
      <c r="AT50">
        <v>0</v>
      </c>
      <c r="AU50">
        <v>0</v>
      </c>
      <c r="AV50">
        <v>0</v>
      </c>
      <c r="AW50">
        <v>0</v>
      </c>
      <c r="AX50">
        <v>3698.8650000000002</v>
      </c>
      <c r="AY50">
        <v>0</v>
      </c>
      <c r="AZ50" t="s">
        <v>76</v>
      </c>
      <c r="BC50" t="s">
        <v>77</v>
      </c>
      <c r="BD50" s="22"/>
      <c r="BE50" s="22"/>
      <c r="BF50" s="22"/>
      <c r="BG50" s="22"/>
      <c r="BH50" s="22"/>
      <c r="BI50" s="22"/>
      <c r="BJ50" s="22" t="s">
        <v>64</v>
      </c>
      <c r="BK50" s="22" t="s">
        <v>76</v>
      </c>
      <c r="BL50" t="s">
        <v>63</v>
      </c>
      <c r="BN50" s="22" t="s">
        <v>77</v>
      </c>
      <c r="BO50" s="22"/>
      <c r="BX50" t="s">
        <v>77</v>
      </c>
      <c r="BY50" t="s">
        <v>77</v>
      </c>
      <c r="CA50" t="s">
        <v>201</v>
      </c>
      <c r="CC50" t="s">
        <v>77</v>
      </c>
      <c r="CE50" t="s">
        <v>77</v>
      </c>
    </row>
    <row r="51" spans="1:83" x14ac:dyDescent="0.25">
      <c r="A51">
        <v>1989</v>
      </c>
      <c r="B51" t="s">
        <v>59</v>
      </c>
      <c r="C51" t="s">
        <v>50</v>
      </c>
      <c r="D51" t="s">
        <v>210</v>
      </c>
      <c r="E51">
        <v>20000</v>
      </c>
      <c r="F51">
        <f>SUM(M51:P51)</f>
        <v>31900</v>
      </c>
      <c r="G51" t="s">
        <v>65</v>
      </c>
      <c r="H51">
        <f t="shared" si="0"/>
        <v>0</v>
      </c>
      <c r="I51">
        <v>0</v>
      </c>
      <c r="J51">
        <f>(N51/$F51)*100</f>
        <v>92.163009404388717</v>
      </c>
      <c r="K51">
        <f>(O51/$F51)*100</f>
        <v>7.8369905956112857</v>
      </c>
      <c r="L51">
        <v>0</v>
      </c>
      <c r="M51">
        <v>0</v>
      </c>
      <c r="N51">
        <v>29400</v>
      </c>
      <c r="O51">
        <v>2500</v>
      </c>
      <c r="P51">
        <v>0</v>
      </c>
      <c r="Q51" t="s">
        <v>76</v>
      </c>
      <c r="S51">
        <v>55</v>
      </c>
      <c r="T51">
        <v>55</v>
      </c>
      <c r="U51">
        <v>55</v>
      </c>
      <c r="V51" t="s">
        <v>76</v>
      </c>
      <c r="W51" t="s">
        <v>64</v>
      </c>
      <c r="X51" t="s">
        <v>64</v>
      </c>
      <c r="Z51">
        <v>0</v>
      </c>
      <c r="AA51" s="11"/>
      <c r="AB51" s="11"/>
      <c r="AC51" s="11"/>
      <c r="AD51" s="11"/>
      <c r="AE51" s="11"/>
      <c r="AF51" s="11"/>
      <c r="AG51" s="11"/>
      <c r="AH51" s="11"/>
      <c r="AI51" s="11"/>
      <c r="AJ51" s="11"/>
      <c r="AK51" s="11"/>
      <c r="AL51" s="11"/>
      <c r="AM51" s="11" t="s">
        <v>77</v>
      </c>
      <c r="AO51" t="s">
        <v>64</v>
      </c>
      <c r="AP51">
        <v>10</v>
      </c>
      <c r="AQ51">
        <v>5</v>
      </c>
      <c r="AR51">
        <v>2.5</v>
      </c>
      <c r="AS51">
        <v>80</v>
      </c>
      <c r="AT51">
        <v>2.5</v>
      </c>
      <c r="AU51">
        <v>250</v>
      </c>
      <c r="AV51">
        <v>125</v>
      </c>
      <c r="AW51">
        <v>62.5</v>
      </c>
      <c r="AX51">
        <v>2000</v>
      </c>
      <c r="AY51">
        <v>62.5</v>
      </c>
      <c r="AZ51" t="s">
        <v>76</v>
      </c>
      <c r="BB51">
        <v>0.1</v>
      </c>
      <c r="BC51" t="s">
        <v>77</v>
      </c>
      <c r="BD51" s="22">
        <v>22.799999999999997</v>
      </c>
      <c r="BE51" s="22"/>
      <c r="BF51" s="22">
        <v>22.799999999999997</v>
      </c>
      <c r="BG51" s="22"/>
      <c r="BH51" s="22">
        <v>22.799999999999997</v>
      </c>
      <c r="BI51" s="22"/>
      <c r="BJ51" s="22"/>
      <c r="BK51" s="22" t="s">
        <v>118</v>
      </c>
      <c r="BL51" t="s">
        <v>158</v>
      </c>
      <c r="BN51" s="22" t="s">
        <v>77</v>
      </c>
      <c r="BO51" s="22"/>
      <c r="BX51" t="s">
        <v>77</v>
      </c>
      <c r="BY51" t="s">
        <v>90</v>
      </c>
      <c r="CA51" t="s">
        <v>76</v>
      </c>
      <c r="CC51" t="s">
        <v>77</v>
      </c>
      <c r="CE51" t="s">
        <v>77</v>
      </c>
    </row>
    <row r="52" spans="1:83" x14ac:dyDescent="0.25">
      <c r="A52">
        <v>2002</v>
      </c>
      <c r="B52" t="s">
        <v>58</v>
      </c>
      <c r="C52" t="s">
        <v>16</v>
      </c>
      <c r="D52" t="s">
        <v>210</v>
      </c>
      <c r="E52">
        <v>17000</v>
      </c>
      <c r="F52">
        <v>21000</v>
      </c>
      <c r="G52" t="s">
        <v>65</v>
      </c>
      <c r="H52">
        <f t="shared" si="0"/>
        <v>0</v>
      </c>
      <c r="I52">
        <v>1.1338630098908988</v>
      </c>
      <c r="J52">
        <v>97.629195524773564</v>
      </c>
      <c r="K52">
        <v>1.1338630098908988</v>
      </c>
      <c r="L52">
        <v>0.10307845544462718</v>
      </c>
      <c r="M52">
        <v>238.11123207708874</v>
      </c>
      <c r="N52">
        <v>20502.13106020245</v>
      </c>
      <c r="O52">
        <v>238.11123207708874</v>
      </c>
      <c r="P52">
        <v>21.646475643371708</v>
      </c>
      <c r="Q52" t="s">
        <v>76</v>
      </c>
      <c r="R52" t="s">
        <v>64</v>
      </c>
      <c r="S52">
        <v>48</v>
      </c>
      <c r="T52">
        <v>10</v>
      </c>
      <c r="U52">
        <v>10</v>
      </c>
      <c r="V52" t="s">
        <v>76</v>
      </c>
      <c r="W52" t="s">
        <v>89</v>
      </c>
      <c r="X52" t="s">
        <v>89</v>
      </c>
      <c r="Z52">
        <v>238.11123207708874</v>
      </c>
      <c r="AA52">
        <v>10</v>
      </c>
      <c r="AB52">
        <v>10</v>
      </c>
      <c r="AC52">
        <v>30</v>
      </c>
      <c r="AD52">
        <v>5</v>
      </c>
      <c r="AE52">
        <v>30</v>
      </c>
      <c r="AF52">
        <v>15</v>
      </c>
      <c r="AG52">
        <v>23.811123207708874</v>
      </c>
      <c r="AH52">
        <v>23.811123207708874</v>
      </c>
      <c r="AI52">
        <v>71.433369623126623</v>
      </c>
      <c r="AJ52">
        <v>11.905561603854437</v>
      </c>
      <c r="AK52">
        <v>71.433369623126623</v>
      </c>
      <c r="AL52">
        <v>35.716684811563312</v>
      </c>
      <c r="AM52" s="18" t="s">
        <v>76</v>
      </c>
      <c r="AO52" t="s">
        <v>63</v>
      </c>
      <c r="AP52" s="11"/>
      <c r="AQ52" s="11"/>
      <c r="AR52" s="11"/>
      <c r="AS52" s="11"/>
      <c r="AT52" s="11"/>
      <c r="AU52" s="11"/>
      <c r="AV52" s="11"/>
      <c r="AW52" s="11"/>
      <c r="AX52" s="11"/>
      <c r="AY52" s="11"/>
      <c r="AZ52" s="11" t="s">
        <v>77</v>
      </c>
      <c r="BC52" t="s">
        <v>77</v>
      </c>
      <c r="BD52" s="22"/>
      <c r="BE52" s="22"/>
      <c r="BF52" s="22"/>
      <c r="BG52" s="22"/>
      <c r="BH52" s="22"/>
      <c r="BI52" s="22"/>
      <c r="BJ52" s="22"/>
      <c r="BK52" s="22" t="s">
        <v>77</v>
      </c>
      <c r="BL52" t="s">
        <v>77</v>
      </c>
      <c r="BN52" s="22" t="s">
        <v>77</v>
      </c>
      <c r="BO52" s="22">
        <v>0</v>
      </c>
      <c r="BW52" t="s">
        <v>64</v>
      </c>
      <c r="BX52" t="s">
        <v>65</v>
      </c>
      <c r="BY52" t="s">
        <v>174</v>
      </c>
      <c r="CA52" t="s">
        <v>76</v>
      </c>
      <c r="CC52" t="s">
        <v>77</v>
      </c>
      <c r="CE52" t="s">
        <v>77</v>
      </c>
    </row>
    <row r="53" spans="1:83" x14ac:dyDescent="0.25">
      <c r="A53">
        <v>2004</v>
      </c>
      <c r="B53" t="s">
        <v>58</v>
      </c>
      <c r="C53" t="s">
        <v>16</v>
      </c>
      <c r="D53" t="s">
        <v>210</v>
      </c>
      <c r="E53">
        <v>120000</v>
      </c>
      <c r="F53">
        <v>111000</v>
      </c>
      <c r="G53" t="s">
        <v>65</v>
      </c>
      <c r="I53" s="11"/>
      <c r="J53" s="11"/>
      <c r="K53" s="11"/>
      <c r="L53" s="11"/>
      <c r="M53" s="11"/>
      <c r="N53" s="11"/>
      <c r="O53" s="11"/>
      <c r="P53" s="11"/>
      <c r="Q53" s="11" t="s">
        <v>66</v>
      </c>
      <c r="R53" s="11"/>
      <c r="V53" t="s">
        <v>77</v>
      </c>
      <c r="W53" t="s">
        <v>77</v>
      </c>
      <c r="X53" t="s">
        <v>77</v>
      </c>
      <c r="Z53" s="11"/>
      <c r="AA53" s="11"/>
      <c r="AB53" s="11"/>
      <c r="AC53" s="11"/>
      <c r="AD53" s="11"/>
      <c r="AE53" s="11"/>
      <c r="AF53" s="11"/>
      <c r="AG53" s="11"/>
      <c r="AH53" s="11"/>
      <c r="AI53" s="11"/>
      <c r="AJ53" s="11"/>
      <c r="AK53" s="11"/>
      <c r="AL53" s="11"/>
      <c r="AM53" s="11" t="s">
        <v>77</v>
      </c>
      <c r="AO53" t="s">
        <v>77</v>
      </c>
      <c r="AP53" s="11"/>
      <c r="AQ53" s="11"/>
      <c r="AR53" s="11"/>
      <c r="AS53" s="11"/>
      <c r="AT53" s="11"/>
      <c r="AU53" s="11"/>
      <c r="AV53" s="11"/>
      <c r="AW53" s="11"/>
      <c r="AX53" s="11"/>
      <c r="AY53" s="11"/>
      <c r="AZ53" s="11" t="s">
        <v>77</v>
      </c>
      <c r="BC53" t="s">
        <v>77</v>
      </c>
      <c r="BD53" s="25"/>
      <c r="BE53" s="25"/>
      <c r="BF53" s="25"/>
      <c r="BG53" s="25"/>
      <c r="BH53" s="25"/>
      <c r="BI53" s="25"/>
      <c r="BJ53" s="22"/>
      <c r="BK53" s="22" t="s">
        <v>77</v>
      </c>
      <c r="BL53" t="s">
        <v>77</v>
      </c>
      <c r="BN53" s="22" t="s">
        <v>77</v>
      </c>
      <c r="BO53" s="22"/>
      <c r="BX53" t="s">
        <v>77</v>
      </c>
      <c r="BY53" t="s">
        <v>90</v>
      </c>
      <c r="CA53" t="s">
        <v>76</v>
      </c>
      <c r="CC53" t="s">
        <v>77</v>
      </c>
      <c r="CE53" t="s">
        <v>77</v>
      </c>
    </row>
    <row r="54" spans="1:83" x14ac:dyDescent="0.25">
      <c r="A54">
        <v>2009</v>
      </c>
      <c r="B54" t="s">
        <v>59</v>
      </c>
      <c r="C54" t="s">
        <v>16</v>
      </c>
      <c r="D54" t="s">
        <v>210</v>
      </c>
      <c r="E54">
        <v>50000</v>
      </c>
      <c r="F54">
        <v>38612</v>
      </c>
      <c r="G54" t="s">
        <v>65</v>
      </c>
      <c r="H54">
        <f t="shared" si="0"/>
        <v>0</v>
      </c>
      <c r="I54">
        <v>1.3933786645858879</v>
      </c>
      <c r="J54">
        <v>97.536506521012143</v>
      </c>
      <c r="K54">
        <v>1.0701148144019619</v>
      </c>
      <c r="L54">
        <v>0</v>
      </c>
      <c r="M54">
        <v>538.01136996990306</v>
      </c>
      <c r="N54">
        <v>37660.795897893207</v>
      </c>
      <c r="O54">
        <v>413.19273213688552</v>
      </c>
      <c r="P54">
        <v>0</v>
      </c>
      <c r="Q54" t="s">
        <v>76</v>
      </c>
      <c r="R54" t="s">
        <v>64</v>
      </c>
      <c r="S54">
        <v>50</v>
      </c>
      <c r="V54" t="s">
        <v>76</v>
      </c>
      <c r="W54" t="s">
        <v>90</v>
      </c>
      <c r="X54" t="s">
        <v>90</v>
      </c>
      <c r="Y54" t="s">
        <v>110</v>
      </c>
      <c r="AA54" s="11"/>
      <c r="AB54" s="11"/>
      <c r="AC54" s="11"/>
      <c r="AD54" s="11"/>
      <c r="AE54" s="11"/>
      <c r="AF54" s="11"/>
      <c r="AG54" s="11"/>
      <c r="AH54" s="11"/>
      <c r="AI54" s="11"/>
      <c r="AJ54" s="11"/>
      <c r="AK54" s="11"/>
      <c r="AL54" s="11"/>
      <c r="AM54" s="11" t="s">
        <v>77</v>
      </c>
      <c r="AO54" t="s">
        <v>64</v>
      </c>
      <c r="AP54">
        <v>30</v>
      </c>
      <c r="AQ54">
        <v>5</v>
      </c>
      <c r="AR54">
        <v>30</v>
      </c>
      <c r="AS54">
        <v>30</v>
      </c>
      <c r="AT54">
        <v>5</v>
      </c>
      <c r="AU54">
        <v>123.95781964106565</v>
      </c>
      <c r="AV54">
        <v>20.65963660684428</v>
      </c>
      <c r="AW54">
        <v>123.95781964106565</v>
      </c>
      <c r="AX54">
        <v>123.95781964106565</v>
      </c>
      <c r="AY54">
        <v>20.65963660684428</v>
      </c>
      <c r="AZ54" t="s">
        <v>76</v>
      </c>
      <c r="BB54">
        <v>384</v>
      </c>
      <c r="BC54" t="s">
        <v>76</v>
      </c>
      <c r="BD54" s="22"/>
      <c r="BE54" s="22"/>
      <c r="BF54" s="22"/>
      <c r="BG54" s="22"/>
      <c r="BH54" s="22"/>
      <c r="BI54" s="22"/>
      <c r="BJ54" s="22" t="s">
        <v>64</v>
      </c>
      <c r="BK54" s="22" t="s">
        <v>76</v>
      </c>
      <c r="BL54" t="s">
        <v>158</v>
      </c>
      <c r="BN54" s="22" t="s">
        <v>77</v>
      </c>
      <c r="BO54" s="22"/>
      <c r="BX54" t="s">
        <v>77</v>
      </c>
      <c r="BY54" t="s">
        <v>77</v>
      </c>
      <c r="CA54" t="s">
        <v>201</v>
      </c>
      <c r="CC54" t="s">
        <v>77</v>
      </c>
      <c r="CE54" t="s">
        <v>77</v>
      </c>
    </row>
    <row r="55" spans="1:83" x14ac:dyDescent="0.25">
      <c r="A55">
        <v>2031</v>
      </c>
      <c r="B55" t="s">
        <v>59</v>
      </c>
      <c r="C55" t="s">
        <v>13</v>
      </c>
      <c r="D55" t="s">
        <v>210</v>
      </c>
      <c r="F55">
        <v>316000</v>
      </c>
      <c r="G55" t="s">
        <v>65</v>
      </c>
      <c r="I55" s="11"/>
      <c r="J55" s="11"/>
      <c r="K55" s="11"/>
      <c r="L55" s="11"/>
      <c r="M55" s="11"/>
      <c r="N55" s="11"/>
      <c r="O55" s="11"/>
      <c r="P55" s="11"/>
      <c r="Q55" s="11" t="s">
        <v>66</v>
      </c>
      <c r="R55" s="11"/>
      <c r="S55">
        <v>45</v>
      </c>
      <c r="V55" t="s">
        <v>76</v>
      </c>
      <c r="W55" t="s">
        <v>89</v>
      </c>
      <c r="X55" t="s">
        <v>89</v>
      </c>
      <c r="Z55" s="11"/>
      <c r="AA55" s="11"/>
      <c r="AB55" s="11"/>
      <c r="AC55" s="11"/>
      <c r="AD55" s="11"/>
      <c r="AE55" s="11"/>
      <c r="AF55" s="11"/>
      <c r="AG55" s="11"/>
      <c r="AH55" s="11"/>
      <c r="AI55" s="11"/>
      <c r="AJ55" s="11"/>
      <c r="AK55" s="11"/>
      <c r="AL55" s="11"/>
      <c r="AM55" s="11" t="s">
        <v>77</v>
      </c>
      <c r="AO55" t="s">
        <v>63</v>
      </c>
      <c r="AP55" s="11"/>
      <c r="AQ55" s="11"/>
      <c r="AR55" s="11"/>
      <c r="AS55" s="11"/>
      <c r="AT55" s="11"/>
      <c r="AU55" s="11"/>
      <c r="AV55" s="11"/>
      <c r="AW55" s="11"/>
      <c r="AX55" s="11"/>
      <c r="AY55" s="11"/>
      <c r="AZ55" s="11" t="s">
        <v>77</v>
      </c>
      <c r="BC55" t="s">
        <v>77</v>
      </c>
      <c r="BD55" s="22"/>
      <c r="BE55" s="22"/>
      <c r="BF55" s="22"/>
      <c r="BG55" s="22"/>
      <c r="BH55" s="22"/>
      <c r="BI55" s="22"/>
      <c r="BJ55" s="22"/>
      <c r="BK55" s="22" t="s">
        <v>77</v>
      </c>
      <c r="BL55" t="s">
        <v>77</v>
      </c>
      <c r="BN55" s="22" t="s">
        <v>77</v>
      </c>
      <c r="BO55" s="22"/>
      <c r="BW55" t="s">
        <v>64</v>
      </c>
      <c r="BX55" t="s">
        <v>76</v>
      </c>
      <c r="BY55" t="s">
        <v>90</v>
      </c>
      <c r="CA55" t="s">
        <v>76</v>
      </c>
      <c r="CC55" t="s">
        <v>77</v>
      </c>
      <c r="CE55" t="s">
        <v>77</v>
      </c>
    </row>
    <row r="56" spans="1:83" x14ac:dyDescent="0.25">
      <c r="A56">
        <v>2049</v>
      </c>
      <c r="B56" t="s">
        <v>58</v>
      </c>
      <c r="C56" t="s">
        <v>21</v>
      </c>
      <c r="D56" t="s">
        <v>210</v>
      </c>
      <c r="E56">
        <v>130000</v>
      </c>
      <c r="F56">
        <v>90000</v>
      </c>
      <c r="G56" t="s">
        <v>65</v>
      </c>
      <c r="I56" s="11"/>
      <c r="J56" s="11"/>
      <c r="K56" s="11"/>
      <c r="L56" s="11"/>
      <c r="M56" s="11"/>
      <c r="N56" s="11"/>
      <c r="O56" s="11"/>
      <c r="P56" s="11"/>
      <c r="Q56" s="11" t="s">
        <v>66</v>
      </c>
      <c r="R56" s="11"/>
      <c r="V56" t="s">
        <v>77</v>
      </c>
      <c r="W56" t="s">
        <v>77</v>
      </c>
      <c r="X56" t="s">
        <v>77</v>
      </c>
      <c r="Z56" s="11"/>
      <c r="AA56" s="11"/>
      <c r="AB56" s="11"/>
      <c r="AC56" s="11"/>
      <c r="AD56" s="11"/>
      <c r="AE56" s="11"/>
      <c r="AF56" s="11"/>
      <c r="AG56" s="11"/>
      <c r="AH56" s="11"/>
      <c r="AI56" s="11"/>
      <c r="AJ56" s="11"/>
      <c r="AK56" s="11"/>
      <c r="AL56" s="11"/>
      <c r="AM56" s="11" t="s">
        <v>77</v>
      </c>
      <c r="AO56" t="s">
        <v>77</v>
      </c>
      <c r="AP56" s="11"/>
      <c r="AQ56" s="11"/>
      <c r="AR56" s="11"/>
      <c r="AS56" s="11"/>
      <c r="AT56" s="11"/>
      <c r="AU56" s="11"/>
      <c r="AV56" s="11"/>
      <c r="AW56" s="11"/>
      <c r="AX56" s="11"/>
      <c r="AY56" s="11"/>
      <c r="AZ56" s="11" t="s">
        <v>77</v>
      </c>
      <c r="BA56" t="s">
        <v>64</v>
      </c>
      <c r="BC56" t="s">
        <v>77</v>
      </c>
      <c r="BD56" s="22"/>
      <c r="BE56" s="22"/>
      <c r="BF56" s="22"/>
      <c r="BG56" s="22"/>
      <c r="BH56" s="22"/>
      <c r="BI56" s="22"/>
      <c r="BJ56" s="22"/>
      <c r="BK56" s="22" t="s">
        <v>77</v>
      </c>
      <c r="BL56" t="s">
        <v>77</v>
      </c>
      <c r="BN56" s="22" t="s">
        <v>77</v>
      </c>
      <c r="BO56" s="22"/>
      <c r="BX56" t="s">
        <v>77</v>
      </c>
      <c r="BY56" t="s">
        <v>63</v>
      </c>
      <c r="CA56" t="s">
        <v>76</v>
      </c>
      <c r="CC56" t="s">
        <v>77</v>
      </c>
      <c r="CE56" t="s">
        <v>77</v>
      </c>
    </row>
    <row r="57" spans="1:83" x14ac:dyDescent="0.25">
      <c r="A57">
        <v>2073</v>
      </c>
      <c r="B57" t="s">
        <v>58</v>
      </c>
      <c r="C57" t="s">
        <v>34</v>
      </c>
      <c r="D57" t="s">
        <v>210</v>
      </c>
      <c r="E57">
        <v>34500</v>
      </c>
      <c r="F57">
        <v>42000</v>
      </c>
      <c r="G57" t="s">
        <v>65</v>
      </c>
      <c r="H57">
        <f t="shared" si="0"/>
        <v>0</v>
      </c>
      <c r="I57">
        <v>0</v>
      </c>
      <c r="J57">
        <v>80</v>
      </c>
      <c r="K57">
        <v>5</v>
      </c>
      <c r="L57">
        <v>15</v>
      </c>
      <c r="M57">
        <v>0</v>
      </c>
      <c r="N57">
        <v>33600</v>
      </c>
      <c r="O57">
        <v>2100</v>
      </c>
      <c r="P57">
        <v>6300</v>
      </c>
      <c r="Q57" t="s">
        <v>76</v>
      </c>
      <c r="S57">
        <v>66</v>
      </c>
      <c r="T57">
        <v>30</v>
      </c>
      <c r="U57">
        <v>30</v>
      </c>
      <c r="V57" t="s">
        <v>76</v>
      </c>
      <c r="W57" t="s">
        <v>89</v>
      </c>
      <c r="X57" t="s">
        <v>90</v>
      </c>
      <c r="Y57" t="s">
        <v>111</v>
      </c>
      <c r="Z57">
        <v>0</v>
      </c>
      <c r="AA57" s="11"/>
      <c r="AB57" s="11"/>
      <c r="AC57" s="11"/>
      <c r="AD57" s="11"/>
      <c r="AE57" s="11"/>
      <c r="AF57" s="11"/>
      <c r="AG57" s="11"/>
      <c r="AH57" s="11"/>
      <c r="AI57" s="11"/>
      <c r="AJ57" s="11"/>
      <c r="AK57" s="11"/>
      <c r="AL57" s="11"/>
      <c r="AM57" s="11" t="s">
        <v>77</v>
      </c>
      <c r="AO57" t="s">
        <v>64</v>
      </c>
      <c r="AP57">
        <v>10</v>
      </c>
      <c r="AQ57">
        <v>5</v>
      </c>
      <c r="AR57">
        <v>5</v>
      </c>
      <c r="AS57">
        <v>80</v>
      </c>
      <c r="AT57">
        <v>0</v>
      </c>
      <c r="AU57">
        <v>210</v>
      </c>
      <c r="AV57">
        <v>105</v>
      </c>
      <c r="AW57">
        <v>105</v>
      </c>
      <c r="AX57">
        <v>1680</v>
      </c>
      <c r="AY57">
        <v>0</v>
      </c>
      <c r="AZ57" t="s">
        <v>76</v>
      </c>
      <c r="BB57">
        <v>2000</v>
      </c>
      <c r="BC57" t="s">
        <v>76</v>
      </c>
      <c r="BD57" s="22"/>
      <c r="BE57" s="22"/>
      <c r="BF57" s="22"/>
      <c r="BG57" s="22"/>
      <c r="BH57" s="22"/>
      <c r="BI57" s="22"/>
      <c r="BJ57" s="22"/>
      <c r="BK57" s="22" t="s">
        <v>77</v>
      </c>
      <c r="BL57" t="s">
        <v>90</v>
      </c>
      <c r="BN57" s="22" t="s">
        <v>77</v>
      </c>
      <c r="BO57" s="22"/>
      <c r="BX57" t="s">
        <v>77</v>
      </c>
      <c r="BY57" t="s">
        <v>77</v>
      </c>
      <c r="CA57" t="s">
        <v>201</v>
      </c>
      <c r="CC57" t="s">
        <v>77</v>
      </c>
      <c r="CE57" t="s">
        <v>77</v>
      </c>
    </row>
    <row r="58" spans="1:83" x14ac:dyDescent="0.25">
      <c r="A58">
        <v>2076</v>
      </c>
      <c r="B58" t="s">
        <v>58</v>
      </c>
      <c r="C58" t="s">
        <v>34</v>
      </c>
      <c r="D58" t="s">
        <v>210</v>
      </c>
      <c r="E58">
        <v>1000000</v>
      </c>
      <c r="F58">
        <v>436632</v>
      </c>
      <c r="G58" t="s">
        <v>65</v>
      </c>
      <c r="H58">
        <f t="shared" si="0"/>
        <v>0</v>
      </c>
      <c r="I58">
        <v>4</v>
      </c>
      <c r="J58">
        <v>96</v>
      </c>
      <c r="K58">
        <v>0</v>
      </c>
      <c r="L58">
        <v>0</v>
      </c>
      <c r="M58">
        <v>17465.28</v>
      </c>
      <c r="N58">
        <v>419166.72000000003</v>
      </c>
      <c r="O58">
        <v>0</v>
      </c>
      <c r="P58">
        <v>0</v>
      </c>
      <c r="Q58" t="s">
        <v>76</v>
      </c>
      <c r="S58">
        <v>32</v>
      </c>
      <c r="V58" t="s">
        <v>76</v>
      </c>
      <c r="W58" t="s">
        <v>89</v>
      </c>
      <c r="X58" t="s">
        <v>90</v>
      </c>
      <c r="Y58" t="s">
        <v>112</v>
      </c>
      <c r="Z58">
        <v>17465.28</v>
      </c>
      <c r="AA58">
        <v>0</v>
      </c>
      <c r="AB58">
        <v>0</v>
      </c>
      <c r="AC58">
        <v>50</v>
      </c>
      <c r="AD58">
        <v>0</v>
      </c>
      <c r="AE58">
        <v>0</v>
      </c>
      <c r="AF58">
        <v>50</v>
      </c>
      <c r="AG58">
        <v>0</v>
      </c>
      <c r="AH58">
        <v>0</v>
      </c>
      <c r="AI58">
        <v>8732.64</v>
      </c>
      <c r="AJ58">
        <v>0</v>
      </c>
      <c r="AK58">
        <v>0</v>
      </c>
      <c r="AL58">
        <v>8732.64</v>
      </c>
      <c r="AM58" s="18" t="s">
        <v>76</v>
      </c>
      <c r="AN58" t="s">
        <v>64</v>
      </c>
      <c r="AO58" t="s">
        <v>63</v>
      </c>
      <c r="AP58" s="11"/>
      <c r="AQ58" s="11"/>
      <c r="AR58" s="11"/>
      <c r="AS58" s="11"/>
      <c r="AT58" s="11"/>
      <c r="AU58" s="11"/>
      <c r="AV58" s="11"/>
      <c r="AW58" s="11"/>
      <c r="AX58" s="11"/>
      <c r="AY58" s="11"/>
      <c r="AZ58" s="11" t="s">
        <v>77</v>
      </c>
      <c r="BC58" t="s">
        <v>77</v>
      </c>
      <c r="BD58" s="22"/>
      <c r="BE58" s="22"/>
      <c r="BF58" s="22"/>
      <c r="BG58" s="22"/>
      <c r="BH58" s="22"/>
      <c r="BI58" s="22"/>
      <c r="BJ58" s="22"/>
      <c r="BK58" s="22" t="s">
        <v>77</v>
      </c>
      <c r="BL58" t="s">
        <v>77</v>
      </c>
      <c r="BN58" s="22" t="s">
        <v>77</v>
      </c>
      <c r="BO58" s="22"/>
      <c r="BX58" t="s">
        <v>77</v>
      </c>
      <c r="BY58" t="s">
        <v>90</v>
      </c>
      <c r="CA58" t="s">
        <v>76</v>
      </c>
      <c r="CC58" t="s">
        <v>77</v>
      </c>
      <c r="CE58" t="s">
        <v>77</v>
      </c>
    </row>
    <row r="59" spans="1:83" x14ac:dyDescent="0.25">
      <c r="A59">
        <v>2077</v>
      </c>
      <c r="B59" t="s">
        <v>58</v>
      </c>
      <c r="C59" t="s">
        <v>34</v>
      </c>
      <c r="D59" t="s">
        <v>210</v>
      </c>
      <c r="E59">
        <v>67000</v>
      </c>
      <c r="F59">
        <v>50000</v>
      </c>
      <c r="G59" t="s">
        <v>65</v>
      </c>
      <c r="H59">
        <f t="shared" si="0"/>
        <v>0</v>
      </c>
      <c r="I59">
        <v>5</v>
      </c>
      <c r="J59">
        <v>95</v>
      </c>
      <c r="K59">
        <v>0</v>
      </c>
      <c r="L59">
        <v>0</v>
      </c>
      <c r="M59">
        <v>2500</v>
      </c>
      <c r="N59">
        <v>47500</v>
      </c>
      <c r="O59">
        <v>0</v>
      </c>
      <c r="P59">
        <v>0</v>
      </c>
      <c r="Q59" t="s">
        <v>76</v>
      </c>
      <c r="S59">
        <v>41</v>
      </c>
      <c r="T59">
        <v>41</v>
      </c>
      <c r="U59">
        <v>41</v>
      </c>
      <c r="V59" t="s">
        <v>76</v>
      </c>
      <c r="W59" t="s">
        <v>64</v>
      </c>
      <c r="X59" t="s">
        <v>63</v>
      </c>
      <c r="Z59">
        <v>2500</v>
      </c>
      <c r="AA59">
        <v>16.666666666666664</v>
      </c>
      <c r="AB59">
        <v>16.666666666666664</v>
      </c>
      <c r="AC59">
        <v>16.666666666666664</v>
      </c>
      <c r="AD59">
        <v>16.666666666666664</v>
      </c>
      <c r="AE59">
        <v>16.666666666666664</v>
      </c>
      <c r="AF59">
        <v>16.666666666666664</v>
      </c>
      <c r="AG59">
        <v>416.66666666666663</v>
      </c>
      <c r="AH59">
        <v>416.66666666666663</v>
      </c>
      <c r="AI59">
        <v>416.66666666666663</v>
      </c>
      <c r="AJ59">
        <v>416.66666666666663</v>
      </c>
      <c r="AK59">
        <v>416.66666666666663</v>
      </c>
      <c r="AL59">
        <v>416.66666666666663</v>
      </c>
      <c r="AM59" s="18" t="s">
        <v>76</v>
      </c>
      <c r="AN59" t="s">
        <v>64</v>
      </c>
      <c r="AO59" t="s">
        <v>64</v>
      </c>
      <c r="AP59" s="11"/>
      <c r="AQ59" s="11"/>
      <c r="AR59" s="11"/>
      <c r="AS59" s="11"/>
      <c r="AT59" s="11"/>
      <c r="AU59" s="11"/>
      <c r="AV59" s="11"/>
      <c r="AW59" s="11"/>
      <c r="AX59" s="11"/>
      <c r="AY59" s="11"/>
      <c r="AZ59" s="11" t="s">
        <v>77</v>
      </c>
      <c r="BA59" t="s">
        <v>64</v>
      </c>
      <c r="BB59">
        <v>0</v>
      </c>
      <c r="BC59" t="s">
        <v>118</v>
      </c>
      <c r="BD59" s="22"/>
      <c r="BE59" s="22"/>
      <c r="BF59" s="22"/>
      <c r="BG59" s="22"/>
      <c r="BH59" s="22"/>
      <c r="BI59" s="22"/>
      <c r="BJ59" s="22"/>
      <c r="BK59" s="22" t="s">
        <v>77</v>
      </c>
      <c r="BL59" t="s">
        <v>158</v>
      </c>
      <c r="BN59" s="22" t="s">
        <v>89</v>
      </c>
      <c r="BO59" s="22"/>
      <c r="BX59" t="s">
        <v>77</v>
      </c>
      <c r="BY59" t="s">
        <v>77</v>
      </c>
      <c r="CA59" t="s">
        <v>201</v>
      </c>
      <c r="CC59" t="s">
        <v>77</v>
      </c>
      <c r="CE59" t="s">
        <v>77</v>
      </c>
    </row>
    <row r="60" spans="1:83" x14ac:dyDescent="0.25">
      <c r="A60">
        <v>2103</v>
      </c>
      <c r="B60" t="s">
        <v>59</v>
      </c>
      <c r="C60" t="s">
        <v>53</v>
      </c>
      <c r="D60" t="s">
        <v>210</v>
      </c>
      <c r="E60">
        <v>150000</v>
      </c>
      <c r="F60">
        <v>375000</v>
      </c>
      <c r="G60" t="s">
        <v>65</v>
      </c>
      <c r="H60">
        <f t="shared" si="0"/>
        <v>0</v>
      </c>
      <c r="I60">
        <v>15</v>
      </c>
      <c r="J60">
        <v>85</v>
      </c>
      <c r="K60">
        <v>0</v>
      </c>
      <c r="L60">
        <v>0</v>
      </c>
      <c r="M60">
        <v>56250</v>
      </c>
      <c r="N60">
        <v>318750</v>
      </c>
      <c r="O60">
        <v>0</v>
      </c>
      <c r="P60">
        <v>0</v>
      </c>
      <c r="Q60" t="s">
        <v>76</v>
      </c>
      <c r="S60">
        <v>39</v>
      </c>
      <c r="V60" t="s">
        <v>76</v>
      </c>
      <c r="W60" t="s">
        <v>89</v>
      </c>
      <c r="X60" t="s">
        <v>89</v>
      </c>
      <c r="Z60">
        <v>56250</v>
      </c>
      <c r="AA60">
        <v>10</v>
      </c>
      <c r="AB60">
        <v>5</v>
      </c>
      <c r="AC60">
        <v>30</v>
      </c>
      <c r="AD60">
        <v>15</v>
      </c>
      <c r="AE60">
        <v>20</v>
      </c>
      <c r="AF60">
        <v>20</v>
      </c>
      <c r="AG60">
        <v>5625</v>
      </c>
      <c r="AH60">
        <v>2812.5</v>
      </c>
      <c r="AI60">
        <v>16875</v>
      </c>
      <c r="AJ60">
        <v>8437.5</v>
      </c>
      <c r="AK60">
        <v>11250</v>
      </c>
      <c r="AL60">
        <v>11250</v>
      </c>
      <c r="AM60" s="18" t="s">
        <v>76</v>
      </c>
      <c r="AO60" t="s">
        <v>63</v>
      </c>
      <c r="AP60" s="11"/>
      <c r="AQ60" s="11"/>
      <c r="AR60" s="11"/>
      <c r="AS60" s="11"/>
      <c r="AT60" s="11"/>
      <c r="AU60" s="11"/>
      <c r="AV60" s="11"/>
      <c r="AW60" s="11"/>
      <c r="AX60" s="11"/>
      <c r="AY60" s="11"/>
      <c r="AZ60" s="11" t="s">
        <v>77</v>
      </c>
      <c r="BC60" t="s">
        <v>77</v>
      </c>
      <c r="BD60" s="22"/>
      <c r="BE60" s="22"/>
      <c r="BF60" s="22"/>
      <c r="BG60" s="22"/>
      <c r="BH60" s="22"/>
      <c r="BI60" s="22"/>
      <c r="BJ60" s="22"/>
      <c r="BK60" s="22" t="s">
        <v>77</v>
      </c>
      <c r="BL60" t="s">
        <v>77</v>
      </c>
      <c r="BN60" s="22" t="s">
        <v>77</v>
      </c>
      <c r="BO60" s="22">
        <v>0</v>
      </c>
      <c r="BW60" t="s">
        <v>64</v>
      </c>
      <c r="BX60" t="s">
        <v>65</v>
      </c>
      <c r="BY60" t="s">
        <v>77</v>
      </c>
      <c r="CA60" t="s">
        <v>201</v>
      </c>
      <c r="CC60" t="s">
        <v>77</v>
      </c>
      <c r="CD60">
        <v>10</v>
      </c>
      <c r="CE60" t="s">
        <v>118</v>
      </c>
    </row>
    <row r="61" spans="1:83" x14ac:dyDescent="0.25">
      <c r="A61">
        <v>2368</v>
      </c>
      <c r="B61" t="s">
        <v>58</v>
      </c>
      <c r="C61" t="s">
        <v>34</v>
      </c>
      <c r="D61" t="s">
        <v>210</v>
      </c>
      <c r="E61">
        <v>14000</v>
      </c>
      <c r="F61">
        <v>12315</v>
      </c>
      <c r="G61" t="s">
        <v>65</v>
      </c>
      <c r="H61">
        <f t="shared" si="0"/>
        <v>0</v>
      </c>
      <c r="I61">
        <v>0</v>
      </c>
      <c r="J61">
        <v>56.283477544293369</v>
      </c>
      <c r="K61">
        <v>43.461063040791096</v>
      </c>
      <c r="L61">
        <v>0.25545941491553359</v>
      </c>
      <c r="M61">
        <v>0</v>
      </c>
      <c r="N61">
        <v>6931.3102595797291</v>
      </c>
      <c r="O61">
        <v>5352.2299134734239</v>
      </c>
      <c r="P61">
        <v>31.459826946847961</v>
      </c>
      <c r="Q61" t="s">
        <v>76</v>
      </c>
      <c r="R61" t="s">
        <v>64</v>
      </c>
      <c r="V61" t="s">
        <v>77</v>
      </c>
      <c r="W61" t="s">
        <v>90</v>
      </c>
      <c r="X61" t="s">
        <v>90</v>
      </c>
      <c r="Z61">
        <v>0</v>
      </c>
      <c r="AA61" s="11"/>
      <c r="AB61" s="11"/>
      <c r="AC61" s="11"/>
      <c r="AD61" s="11"/>
      <c r="AE61" s="11"/>
      <c r="AF61" s="11"/>
      <c r="AG61" s="11"/>
      <c r="AH61" s="11"/>
      <c r="AI61" s="11"/>
      <c r="AJ61" s="11"/>
      <c r="AK61" s="11"/>
      <c r="AL61" s="11"/>
      <c r="AM61" s="11" t="s">
        <v>77</v>
      </c>
      <c r="AO61" t="s">
        <v>64</v>
      </c>
      <c r="AP61">
        <v>3</v>
      </c>
      <c r="AQ61">
        <v>0</v>
      </c>
      <c r="AR61">
        <v>0</v>
      </c>
      <c r="AS61">
        <v>97</v>
      </c>
      <c r="AT61">
        <v>0</v>
      </c>
      <c r="AU61">
        <v>160.56689740420273</v>
      </c>
      <c r="AV61">
        <v>0</v>
      </c>
      <c r="AW61">
        <v>0</v>
      </c>
      <c r="AX61">
        <v>5191.6630160692212</v>
      </c>
      <c r="AY61">
        <v>0</v>
      </c>
      <c r="AZ61" t="s">
        <v>76</v>
      </c>
      <c r="BA61" t="s">
        <v>64</v>
      </c>
      <c r="BB61">
        <v>0</v>
      </c>
      <c r="BC61" t="s">
        <v>118</v>
      </c>
      <c r="BD61" s="22"/>
      <c r="BE61" s="22"/>
      <c r="BF61" s="22"/>
      <c r="BG61" s="22"/>
      <c r="BH61" s="22"/>
      <c r="BI61" s="22"/>
      <c r="BJ61" s="22"/>
      <c r="BK61" s="22" t="s">
        <v>77</v>
      </c>
      <c r="BL61" t="s">
        <v>63</v>
      </c>
      <c r="BN61" s="22" t="s">
        <v>77</v>
      </c>
      <c r="BO61" s="22"/>
      <c r="BX61" t="s">
        <v>77</v>
      </c>
      <c r="BY61" t="s">
        <v>90</v>
      </c>
      <c r="CA61" t="s">
        <v>76</v>
      </c>
      <c r="CC61" t="s">
        <v>77</v>
      </c>
      <c r="CE61" t="s">
        <v>77</v>
      </c>
    </row>
    <row r="62" spans="1:83" x14ac:dyDescent="0.25">
      <c r="A62">
        <v>2376</v>
      </c>
      <c r="B62" t="s">
        <v>58</v>
      </c>
      <c r="C62" t="s">
        <v>57</v>
      </c>
      <c r="D62" t="s">
        <v>210</v>
      </c>
      <c r="E62">
        <v>140000</v>
      </c>
      <c r="F62">
        <f>SUM(M62:P62)</f>
        <v>179984.06</v>
      </c>
      <c r="G62" t="s">
        <v>65</v>
      </c>
      <c r="H62">
        <f t="shared" si="0"/>
        <v>0</v>
      </c>
      <c r="I62">
        <f>(M62/$F62)*100</f>
        <v>8.9831788437264937</v>
      </c>
      <c r="J62">
        <f t="shared" ref="J62:L62" si="4">(N62/$F62)*100</f>
        <v>87.610152810198855</v>
      </c>
      <c r="K62">
        <f t="shared" si="4"/>
        <v>3.406668346074647</v>
      </c>
      <c r="L62">
        <f t="shared" si="4"/>
        <v>0</v>
      </c>
      <c r="M62">
        <v>16168.289999999997</v>
      </c>
      <c r="N62">
        <v>157684.31</v>
      </c>
      <c r="O62">
        <v>6131.46</v>
      </c>
      <c r="P62">
        <v>0</v>
      </c>
      <c r="Q62" t="s">
        <v>76</v>
      </c>
      <c r="S62">
        <v>45.76</v>
      </c>
      <c r="V62" t="s">
        <v>76</v>
      </c>
      <c r="W62" t="s">
        <v>89</v>
      </c>
      <c r="X62" t="s">
        <v>89</v>
      </c>
      <c r="AA62" s="11"/>
      <c r="AB62" s="11"/>
      <c r="AC62" s="11"/>
      <c r="AD62" s="11"/>
      <c r="AE62" s="11"/>
      <c r="AF62" s="11"/>
      <c r="AG62" s="11"/>
      <c r="AH62" s="11"/>
      <c r="AI62" s="11"/>
      <c r="AJ62" s="11"/>
      <c r="AK62" s="11"/>
      <c r="AL62" s="11"/>
      <c r="AM62" s="11" t="s">
        <v>77</v>
      </c>
      <c r="AO62" t="s">
        <v>64</v>
      </c>
      <c r="AP62">
        <v>2</v>
      </c>
      <c r="AQ62">
        <v>1</v>
      </c>
      <c r="AR62">
        <v>2</v>
      </c>
      <c r="AS62">
        <v>95</v>
      </c>
      <c r="AT62">
        <v>0</v>
      </c>
      <c r="AU62">
        <v>122.6292</v>
      </c>
      <c r="AV62">
        <v>61.314599999999999</v>
      </c>
      <c r="AW62">
        <v>122.6292</v>
      </c>
      <c r="AX62">
        <v>5824.8869999999997</v>
      </c>
      <c r="AY62">
        <v>0</v>
      </c>
      <c r="AZ62" t="s">
        <v>76</v>
      </c>
      <c r="BC62" t="s">
        <v>77</v>
      </c>
      <c r="BD62" s="22">
        <v>0</v>
      </c>
      <c r="BE62" s="22"/>
      <c r="BF62" s="22">
        <v>0</v>
      </c>
      <c r="BG62" s="22"/>
      <c r="BH62" s="22">
        <v>30</v>
      </c>
      <c r="BI62" s="22"/>
      <c r="BJ62" s="22"/>
      <c r="BK62" s="22" t="s">
        <v>118</v>
      </c>
      <c r="BL62" t="s">
        <v>63</v>
      </c>
      <c r="BN62" s="22" t="s">
        <v>77</v>
      </c>
      <c r="BO62" s="22"/>
      <c r="BX62" t="s">
        <v>77</v>
      </c>
      <c r="BY62" t="s">
        <v>90</v>
      </c>
      <c r="CA62" t="s">
        <v>76</v>
      </c>
      <c r="CC62" t="s">
        <v>77</v>
      </c>
      <c r="CE62" t="s">
        <v>77</v>
      </c>
    </row>
    <row r="63" spans="1:83" x14ac:dyDescent="0.25">
      <c r="A63">
        <v>2377</v>
      </c>
      <c r="B63" t="s">
        <v>58</v>
      </c>
      <c r="C63" t="s">
        <v>21</v>
      </c>
      <c r="D63" t="s">
        <v>210</v>
      </c>
      <c r="E63">
        <v>150000</v>
      </c>
      <c r="F63">
        <v>35132</v>
      </c>
      <c r="G63" t="s">
        <v>65</v>
      </c>
      <c r="H63">
        <f t="shared" si="0"/>
        <v>0</v>
      </c>
      <c r="I63">
        <v>10</v>
      </c>
      <c r="J63">
        <v>80</v>
      </c>
      <c r="K63">
        <v>0</v>
      </c>
      <c r="L63">
        <v>10</v>
      </c>
      <c r="M63">
        <v>3513.2000000000003</v>
      </c>
      <c r="N63">
        <v>28105.600000000002</v>
      </c>
      <c r="O63">
        <v>0</v>
      </c>
      <c r="P63">
        <v>3513.2000000000003</v>
      </c>
      <c r="Q63" t="s">
        <v>76</v>
      </c>
      <c r="S63">
        <v>40</v>
      </c>
      <c r="T63">
        <v>40</v>
      </c>
      <c r="U63">
        <v>0</v>
      </c>
      <c r="V63" t="s">
        <v>76</v>
      </c>
      <c r="W63" t="s">
        <v>89</v>
      </c>
      <c r="X63" t="s">
        <v>89</v>
      </c>
      <c r="Z63">
        <v>3513.2000000000003</v>
      </c>
      <c r="AA63">
        <v>5</v>
      </c>
      <c r="AB63">
        <v>5</v>
      </c>
      <c r="AC63">
        <v>25</v>
      </c>
      <c r="AD63">
        <v>5</v>
      </c>
      <c r="AE63">
        <v>10</v>
      </c>
      <c r="AF63">
        <v>50</v>
      </c>
      <c r="AG63">
        <v>175.66</v>
      </c>
      <c r="AH63">
        <v>175.66</v>
      </c>
      <c r="AI63">
        <v>878.30000000000007</v>
      </c>
      <c r="AJ63">
        <v>175.66</v>
      </c>
      <c r="AK63">
        <v>351.32</v>
      </c>
      <c r="AL63">
        <v>1756.6000000000001</v>
      </c>
      <c r="AM63" t="s">
        <v>76</v>
      </c>
      <c r="AO63" t="s">
        <v>63</v>
      </c>
      <c r="AP63" s="11"/>
      <c r="AQ63" s="11"/>
      <c r="AR63" s="11"/>
      <c r="AS63" s="11"/>
      <c r="AT63" s="11"/>
      <c r="AU63" s="11"/>
      <c r="AV63" s="11"/>
      <c r="AW63" s="11"/>
      <c r="AX63" s="11"/>
      <c r="AY63" s="11"/>
      <c r="AZ63" s="11" t="s">
        <v>77</v>
      </c>
      <c r="BC63" t="s">
        <v>77</v>
      </c>
      <c r="BD63" s="22"/>
      <c r="BE63" s="22"/>
      <c r="BF63" s="22"/>
      <c r="BG63" s="22"/>
      <c r="BH63" s="22"/>
      <c r="BI63" s="22"/>
      <c r="BJ63" s="22"/>
      <c r="BK63" s="22" t="s">
        <v>77</v>
      </c>
      <c r="BL63" t="s">
        <v>77</v>
      </c>
      <c r="BN63" s="22" t="s">
        <v>77</v>
      </c>
      <c r="BO63" s="22"/>
      <c r="BX63" t="s">
        <v>77</v>
      </c>
      <c r="BY63" t="s">
        <v>90</v>
      </c>
      <c r="CA63" t="s">
        <v>76</v>
      </c>
      <c r="CC63" t="s">
        <v>77</v>
      </c>
      <c r="CE63" t="s">
        <v>77</v>
      </c>
    </row>
    <row r="64" spans="1:83" x14ac:dyDescent="0.25">
      <c r="A64">
        <v>2379</v>
      </c>
      <c r="B64" t="s">
        <v>58</v>
      </c>
      <c r="C64" t="s">
        <v>16</v>
      </c>
      <c r="D64" t="s">
        <v>210</v>
      </c>
      <c r="E64">
        <v>160000</v>
      </c>
      <c r="F64">
        <v>203000</v>
      </c>
      <c r="G64" t="s">
        <v>65</v>
      </c>
      <c r="H64">
        <f t="shared" si="0"/>
        <v>0</v>
      </c>
      <c r="I64">
        <v>0</v>
      </c>
      <c r="J64">
        <v>99.21182266009852</v>
      </c>
      <c r="K64">
        <v>0.78817733990147776</v>
      </c>
      <c r="L64">
        <v>0</v>
      </c>
      <c r="M64">
        <v>0</v>
      </c>
      <c r="N64">
        <v>201400</v>
      </c>
      <c r="O64">
        <v>1599.9999999999998</v>
      </c>
      <c r="P64">
        <v>0</v>
      </c>
      <c r="Q64" t="s">
        <v>76</v>
      </c>
      <c r="S64">
        <v>33.75</v>
      </c>
      <c r="T64">
        <v>33.75</v>
      </c>
      <c r="V64" t="s">
        <v>76</v>
      </c>
      <c r="W64" t="s">
        <v>89</v>
      </c>
      <c r="X64" t="s">
        <v>89</v>
      </c>
      <c r="Z64">
        <v>0</v>
      </c>
      <c r="AA64" s="11"/>
      <c r="AB64" s="11"/>
      <c r="AC64" s="11"/>
      <c r="AD64" s="11"/>
      <c r="AE64" s="11"/>
      <c r="AF64" s="11"/>
      <c r="AG64" s="11"/>
      <c r="AH64" s="11"/>
      <c r="AI64" s="11"/>
      <c r="AJ64" s="11"/>
      <c r="AK64" s="11"/>
      <c r="AL64" s="11"/>
      <c r="AM64" s="11" t="s">
        <v>77</v>
      </c>
      <c r="AO64" t="s">
        <v>64</v>
      </c>
      <c r="AP64">
        <v>0</v>
      </c>
      <c r="AQ64">
        <v>0</v>
      </c>
      <c r="AR64">
        <v>0</v>
      </c>
      <c r="AS64">
        <v>100</v>
      </c>
      <c r="AT64">
        <v>0</v>
      </c>
      <c r="AU64">
        <v>0</v>
      </c>
      <c r="AV64">
        <v>0</v>
      </c>
      <c r="AW64">
        <v>0</v>
      </c>
      <c r="AX64">
        <v>1599.9999999999998</v>
      </c>
      <c r="AY64">
        <v>0</v>
      </c>
      <c r="AZ64" t="s">
        <v>76</v>
      </c>
      <c r="BB64">
        <v>0</v>
      </c>
      <c r="BC64" t="s">
        <v>118</v>
      </c>
      <c r="BD64" s="22"/>
      <c r="BE64" s="22"/>
      <c r="BF64" s="22"/>
      <c r="BG64" s="22"/>
      <c r="BH64" s="22"/>
      <c r="BI64" s="22"/>
      <c r="BJ64" s="22"/>
      <c r="BK64" s="22" t="s">
        <v>77</v>
      </c>
      <c r="BL64" t="s">
        <v>63</v>
      </c>
      <c r="BN64" s="22" t="s">
        <v>77</v>
      </c>
      <c r="BO64" s="22"/>
      <c r="BX64" t="s">
        <v>77</v>
      </c>
      <c r="BY64" t="s">
        <v>90</v>
      </c>
      <c r="CA64" t="s">
        <v>76</v>
      </c>
      <c r="CC64" t="s">
        <v>77</v>
      </c>
      <c r="CE64" t="s">
        <v>77</v>
      </c>
    </row>
    <row r="65" spans="1:83" x14ac:dyDescent="0.25">
      <c r="A65">
        <v>2380</v>
      </c>
      <c r="B65" t="s">
        <v>58</v>
      </c>
      <c r="C65" t="s">
        <v>16</v>
      </c>
      <c r="D65" t="s">
        <v>210</v>
      </c>
      <c r="E65">
        <v>170000</v>
      </c>
      <c r="F65">
        <v>188000</v>
      </c>
      <c r="G65" t="s">
        <v>65</v>
      </c>
      <c r="H65">
        <f t="shared" si="0"/>
        <v>0</v>
      </c>
      <c r="I65">
        <v>0</v>
      </c>
      <c r="J65">
        <v>91.336899600828175</v>
      </c>
      <c r="K65">
        <v>3.6084654609753986</v>
      </c>
      <c r="L65">
        <v>5.0546349381964264</v>
      </c>
      <c r="M65">
        <v>0</v>
      </c>
      <c r="N65">
        <v>171713.37124955698</v>
      </c>
      <c r="O65">
        <v>6783.91506663375</v>
      </c>
      <c r="P65">
        <v>9502.7136838092829</v>
      </c>
      <c r="Q65" t="s">
        <v>76</v>
      </c>
      <c r="R65" t="s">
        <v>64</v>
      </c>
      <c r="S65">
        <v>43</v>
      </c>
      <c r="T65">
        <v>43</v>
      </c>
      <c r="V65" t="s">
        <v>76</v>
      </c>
      <c r="W65" t="s">
        <v>89</v>
      </c>
      <c r="X65" t="s">
        <v>89</v>
      </c>
      <c r="Z65">
        <v>0</v>
      </c>
      <c r="AA65" s="12"/>
      <c r="AB65" s="12"/>
      <c r="AC65" s="12"/>
      <c r="AD65" s="12"/>
      <c r="AE65" s="12"/>
      <c r="AF65" s="12"/>
      <c r="AG65" s="12"/>
      <c r="AH65" s="12"/>
      <c r="AI65" s="12"/>
      <c r="AJ65" s="12"/>
      <c r="AK65" s="12"/>
      <c r="AL65" s="12"/>
      <c r="AM65" s="12" t="s">
        <v>118</v>
      </c>
      <c r="AO65" t="s">
        <v>64</v>
      </c>
      <c r="AP65">
        <v>0</v>
      </c>
      <c r="AQ65">
        <v>0</v>
      </c>
      <c r="AR65">
        <v>0</v>
      </c>
      <c r="AS65">
        <v>100</v>
      </c>
      <c r="AT65">
        <v>0</v>
      </c>
      <c r="AU65">
        <v>0</v>
      </c>
      <c r="AV65">
        <v>0</v>
      </c>
      <c r="AW65">
        <v>0</v>
      </c>
      <c r="AX65">
        <v>6783.91506663375</v>
      </c>
      <c r="AY65">
        <v>0</v>
      </c>
      <c r="AZ65" t="s">
        <v>76</v>
      </c>
      <c r="BB65">
        <v>0</v>
      </c>
      <c r="BC65" t="s">
        <v>118</v>
      </c>
      <c r="BD65" s="22"/>
      <c r="BE65" s="22"/>
      <c r="BF65" s="22"/>
      <c r="BG65" s="22"/>
      <c r="BH65" s="22"/>
      <c r="BI65" s="22"/>
      <c r="BJ65" s="22" t="s">
        <v>64</v>
      </c>
      <c r="BK65" s="22" t="s">
        <v>76</v>
      </c>
      <c r="BL65" t="s">
        <v>63</v>
      </c>
      <c r="BN65" s="22" t="s">
        <v>77</v>
      </c>
      <c r="BO65" s="22"/>
      <c r="BX65" t="s">
        <v>77</v>
      </c>
      <c r="BY65" t="s">
        <v>90</v>
      </c>
      <c r="CA65" t="s">
        <v>76</v>
      </c>
      <c r="CC65" t="s">
        <v>77</v>
      </c>
      <c r="CE65" t="s">
        <v>77</v>
      </c>
    </row>
    <row r="66" spans="1:83" ht="15.75" thickBot="1" x14ac:dyDescent="0.3">
      <c r="BO66" s="22"/>
      <c r="BX66" t="s">
        <v>77</v>
      </c>
      <c r="BY66" t="s">
        <v>90</v>
      </c>
      <c r="CA66" t="s">
        <v>76</v>
      </c>
      <c r="CC66" t="s">
        <v>77</v>
      </c>
      <c r="CE66" t="s">
        <v>77</v>
      </c>
    </row>
    <row r="67" spans="1:83" ht="15.75" thickBot="1" x14ac:dyDescent="0.3">
      <c r="A67" s="14" t="s">
        <v>12</v>
      </c>
      <c r="B67" s="14" t="s">
        <v>62</v>
      </c>
      <c r="C67" s="16" t="s">
        <v>85</v>
      </c>
      <c r="D67" s="16" t="s">
        <v>209</v>
      </c>
      <c r="E67" s="13" t="s">
        <v>84</v>
      </c>
      <c r="F67" t="s">
        <v>83</v>
      </c>
      <c r="G67" t="s">
        <v>86</v>
      </c>
      <c r="I67" t="s">
        <v>67</v>
      </c>
      <c r="J67" t="s">
        <v>68</v>
      </c>
      <c r="K67" t="s">
        <v>69</v>
      </c>
      <c r="L67" t="s">
        <v>70</v>
      </c>
      <c r="M67" t="s">
        <v>71</v>
      </c>
      <c r="N67" t="s">
        <v>72</v>
      </c>
      <c r="O67" t="s">
        <v>73</v>
      </c>
      <c r="P67" t="s">
        <v>74</v>
      </c>
      <c r="Q67" t="s">
        <v>81</v>
      </c>
      <c r="R67" t="s">
        <v>75</v>
      </c>
      <c r="S67" t="s">
        <v>78</v>
      </c>
      <c r="T67" t="s">
        <v>79</v>
      </c>
      <c r="U67" t="s">
        <v>80</v>
      </c>
      <c r="V67" s="30" t="s">
        <v>62</v>
      </c>
      <c r="W67" s="31" t="s">
        <v>114</v>
      </c>
      <c r="X67" s="32" t="s">
        <v>115</v>
      </c>
      <c r="Y67" t="s">
        <v>117</v>
      </c>
      <c r="AA67" s="30" t="s">
        <v>119</v>
      </c>
      <c r="AB67" s="31" t="s">
        <v>120</v>
      </c>
      <c r="AC67" s="31" t="s">
        <v>121</v>
      </c>
      <c r="AD67" s="31" t="s">
        <v>122</v>
      </c>
      <c r="AE67" s="31" t="s">
        <v>123</v>
      </c>
      <c r="AF67" s="32" t="s">
        <v>124</v>
      </c>
      <c r="AG67" t="s">
        <v>125</v>
      </c>
      <c r="AH67" t="s">
        <v>126</v>
      </c>
      <c r="AI67" t="s">
        <v>127</v>
      </c>
      <c r="AJ67" t="s">
        <v>128</v>
      </c>
      <c r="AK67" t="s">
        <v>129</v>
      </c>
      <c r="AL67" t="s">
        <v>130</v>
      </c>
      <c r="AM67" t="s">
        <v>132</v>
      </c>
      <c r="AN67" t="s">
        <v>133</v>
      </c>
      <c r="AO67" s="18" t="s">
        <v>135</v>
      </c>
      <c r="AP67" s="20" t="s">
        <v>119</v>
      </c>
      <c r="AQ67" s="20" t="s">
        <v>120</v>
      </c>
      <c r="AR67" s="20" t="s">
        <v>139</v>
      </c>
      <c r="AS67" s="149" t="s">
        <v>140</v>
      </c>
      <c r="AT67" s="151" t="s">
        <v>124</v>
      </c>
      <c r="AU67" s="151" t="s">
        <v>141</v>
      </c>
      <c r="AV67" s="151" t="s">
        <v>142</v>
      </c>
      <c r="AW67" s="151" t="s">
        <v>143</v>
      </c>
      <c r="AX67" s="151" t="s">
        <v>144</v>
      </c>
      <c r="AY67" s="151" t="s">
        <v>145</v>
      </c>
      <c r="AZ67" s="150" t="s">
        <v>146</v>
      </c>
      <c r="BA67" s="18" t="s">
        <v>138</v>
      </c>
      <c r="BB67" t="s">
        <v>148</v>
      </c>
      <c r="BC67" t="s">
        <v>146</v>
      </c>
      <c r="BD67" s="22" t="s">
        <v>150</v>
      </c>
      <c r="BE67" s="22" t="s">
        <v>151</v>
      </c>
      <c r="BF67" s="22" t="s">
        <v>152</v>
      </c>
      <c r="BG67" s="22" t="s">
        <v>153</v>
      </c>
      <c r="BH67" s="22" t="s">
        <v>154</v>
      </c>
      <c r="BI67" s="22" t="s">
        <v>155</v>
      </c>
      <c r="BJ67" s="22" t="s">
        <v>156</v>
      </c>
      <c r="BK67" s="22" t="s">
        <v>146</v>
      </c>
      <c r="BL67" t="s">
        <v>161</v>
      </c>
      <c r="BN67" s="28" t="s">
        <v>164</v>
      </c>
    </row>
    <row r="68" spans="1:83" ht="15.75" thickBot="1" x14ac:dyDescent="0.3">
      <c r="E68">
        <f>AVERAGE(E2:E65)</f>
        <v>285690</v>
      </c>
      <c r="F68">
        <f t="shared" ref="F68:BI68" si="5">AVERAGE(F2:F65)</f>
        <v>245011.96943031251</v>
      </c>
      <c r="H68">
        <f t="shared" si="5"/>
        <v>0</v>
      </c>
      <c r="I68">
        <f t="shared" si="5"/>
        <v>7.3493139688992759</v>
      </c>
      <c r="J68">
        <f t="shared" si="5"/>
        <v>80.831507542817349</v>
      </c>
      <c r="K68">
        <f t="shared" si="5"/>
        <v>8.0172969092725523</v>
      </c>
      <c r="L68">
        <f t="shared" si="5"/>
        <v>3.8018815790108325</v>
      </c>
      <c r="M68">
        <f t="shared" si="5"/>
        <v>30963.019093136085</v>
      </c>
      <c r="N68">
        <f t="shared" si="5"/>
        <v>183766.00165904406</v>
      </c>
      <c r="O68">
        <f t="shared" si="5"/>
        <v>14153.043165190986</v>
      </c>
      <c r="P68">
        <f t="shared" si="5"/>
        <v>6345.5850370733306</v>
      </c>
      <c r="S68">
        <f t="shared" si="5"/>
        <v>47.228076923076934</v>
      </c>
      <c r="T68">
        <f t="shared" si="5"/>
        <v>34.322631578947366</v>
      </c>
      <c r="U68">
        <f t="shared" si="5"/>
        <v>36.361874999999998</v>
      </c>
      <c r="AA68" s="40">
        <f t="shared" si="5"/>
        <v>6.583333333333333</v>
      </c>
      <c r="AB68" s="23">
        <f t="shared" si="5"/>
        <v>5.9494391253130416</v>
      </c>
      <c r="AC68" s="23">
        <f t="shared" si="5"/>
        <v>34.804761904761904</v>
      </c>
      <c r="AD68" s="23">
        <f t="shared" si="5"/>
        <v>10.322619047619046</v>
      </c>
      <c r="AE68" s="23">
        <f t="shared" si="5"/>
        <v>14.972619047619048</v>
      </c>
      <c r="AF68" s="39">
        <f t="shared" si="5"/>
        <v>27.367227541353621</v>
      </c>
      <c r="AG68">
        <f t="shared" si="5"/>
        <v>937.9933144937188</v>
      </c>
      <c r="AH68">
        <f t="shared" si="5"/>
        <v>1493.2704007906391</v>
      </c>
      <c r="AI68">
        <f t="shared" si="5"/>
        <v>33496.803462528784</v>
      </c>
      <c r="AJ68">
        <f t="shared" si="5"/>
        <v>10494.892768556385</v>
      </c>
      <c r="AK68">
        <f t="shared" si="5"/>
        <v>8083.6283589573459</v>
      </c>
      <c r="AL68">
        <f t="shared" si="5"/>
        <v>4337.6456776420728</v>
      </c>
      <c r="AT68" s="146" t="s">
        <v>282</v>
      </c>
      <c r="AU68" s="146">
        <f>SUM(AU2:AU66)</f>
        <v>15424.756397142572</v>
      </c>
      <c r="AV68" s="146">
        <f t="shared" ref="AV68:AX68" si="6">SUM(AV2:AV66)</f>
        <v>6866.4007644071562</v>
      </c>
      <c r="AW68" s="146">
        <f t="shared" si="6"/>
        <v>17242.367019641064</v>
      </c>
      <c r="AX68" s="146">
        <f t="shared" si="6"/>
        <v>586191.63963951578</v>
      </c>
      <c r="AY68" s="146">
        <f>SUM(AY2:AY66)</f>
        <v>6021.5162172520049</v>
      </c>
      <c r="AZ68">
        <f>SUM(AU68:AY68)</f>
        <v>631746.68003795855</v>
      </c>
      <c r="BB68">
        <f t="shared" si="5"/>
        <v>7930.1790625000003</v>
      </c>
      <c r="BD68">
        <f t="shared" si="5"/>
        <v>19.541666666666668</v>
      </c>
      <c r="BE68">
        <f t="shared" si="5"/>
        <v>3862.8333333333335</v>
      </c>
      <c r="BF68">
        <f t="shared" si="5"/>
        <v>24.558534754683993</v>
      </c>
      <c r="BG68">
        <f t="shared" si="5"/>
        <v>1742.3333333333333</v>
      </c>
      <c r="BH68">
        <f t="shared" si="5"/>
        <v>11.471428571428572</v>
      </c>
      <c r="BI68">
        <f t="shared" si="5"/>
        <v>222.33333333333334</v>
      </c>
      <c r="BK68" s="22" t="s">
        <v>158</v>
      </c>
      <c r="BL68">
        <f>COUNTIF(BL2:BL65,"Other")</f>
        <v>7</v>
      </c>
      <c r="BM68" t="s">
        <v>64</v>
      </c>
      <c r="BN68">
        <f>COUNTIF(BN2:BN65,"YES")</f>
        <v>10</v>
      </c>
      <c r="BX68" t="s">
        <v>64</v>
      </c>
      <c r="BY68">
        <f>COUNTIF(BY3:BY66,"YES")</f>
        <v>5</v>
      </c>
      <c r="BZ68">
        <f>AVERAGE(BZ3:BZ66)</f>
        <v>67641.872499999998</v>
      </c>
      <c r="CB68">
        <f t="shared" ref="CB68:CD68" si="7">AVERAGE(CB3:CB66)</f>
        <v>67641.872499999998</v>
      </c>
      <c r="CD68">
        <f t="shared" si="7"/>
        <v>40</v>
      </c>
    </row>
    <row r="69" spans="1:83" ht="15.75" thickBot="1" x14ac:dyDescent="0.3">
      <c r="V69" s="40" t="s">
        <v>64</v>
      </c>
      <c r="W69" s="23">
        <f>COUNTIF(W2:W65,"Yes")</f>
        <v>51</v>
      </c>
      <c r="X69" s="39">
        <f>COUNTIF(X2:X65,"Yes")</f>
        <v>43</v>
      </c>
      <c r="AA69" s="40"/>
      <c r="AB69" s="23"/>
      <c r="AC69" s="23"/>
      <c r="AD69" s="23"/>
      <c r="AE69" s="23"/>
      <c r="AF69" s="39"/>
      <c r="AT69" s="146" t="s">
        <v>283</v>
      </c>
      <c r="AU69" s="146">
        <f>AU68/AZ68</f>
        <v>2.4416046628398226E-2</v>
      </c>
      <c r="AV69" s="146">
        <f>AV68/AZ68</f>
        <v>1.0868914679527225E-2</v>
      </c>
      <c r="AW69" s="146">
        <f>AW68/AZ68</f>
        <v>2.7293166018070813E-2</v>
      </c>
      <c r="AX69" s="146">
        <f>AX68/AZ68</f>
        <v>0.92789033668415066</v>
      </c>
      <c r="AY69" s="146">
        <f>AY68/AZ68</f>
        <v>9.5315359898530874E-3</v>
      </c>
      <c r="BA69" t="s">
        <v>202</v>
      </c>
      <c r="BB69">
        <f>AVERAGEIF(BB2:BB66,"&gt;0")</f>
        <v>14927.395882352941</v>
      </c>
      <c r="BD69">
        <f>AVERAGEIF(BD2:BD66,"&gt;0")</f>
        <v>26.055555555555557</v>
      </c>
      <c r="BE69">
        <f t="shared" ref="BE69:BI69" si="8">AVERAGEIF(BE2:BE66,"&gt;0")</f>
        <v>4635.3999999999996</v>
      </c>
      <c r="BF69">
        <f t="shared" si="8"/>
        <v>32.744713006245327</v>
      </c>
      <c r="BG69">
        <f t="shared" si="8"/>
        <v>2090.8000000000002</v>
      </c>
      <c r="BH69">
        <f t="shared" si="8"/>
        <v>20.074999999999999</v>
      </c>
      <c r="BI69">
        <f t="shared" si="8"/>
        <v>667</v>
      </c>
      <c r="BK69" s="22" t="s">
        <v>159</v>
      </c>
      <c r="BL69">
        <f>COUNTIF(BL2:BL65,"REPAIR")</f>
        <v>1</v>
      </c>
      <c r="BN69" t="s">
        <v>225</v>
      </c>
      <c r="BO69">
        <f>AVERAGE(BO2:BO65)</f>
        <v>-8.6</v>
      </c>
      <c r="BX69" t="s">
        <v>63</v>
      </c>
      <c r="BY69">
        <f>COUNTIF(BY3:BY66,"NO")</f>
        <v>41</v>
      </c>
      <c r="BZ69">
        <f>AVERAGEIF(BZ3:BZ66,"&gt;0")</f>
        <v>67641.872499999998</v>
      </c>
      <c r="CB69">
        <f t="shared" ref="CB69:CD69" si="9">AVERAGEIF(CB3:CB66,"&gt;0")</f>
        <v>67641.872499999998</v>
      </c>
      <c r="CD69">
        <f t="shared" si="9"/>
        <v>40</v>
      </c>
    </row>
    <row r="70" spans="1:83" ht="15.75" thickBot="1" x14ac:dyDescent="0.3">
      <c r="C70" s="18"/>
      <c r="D70" s="18"/>
      <c r="E70" s="18"/>
      <c r="F70" s="18"/>
      <c r="G70" s="18"/>
      <c r="H70" s="18"/>
      <c r="I70" s="18"/>
      <c r="J70" s="18"/>
      <c r="K70" s="18"/>
      <c r="L70" s="18"/>
      <c r="M70" s="18"/>
      <c r="N70" s="18"/>
      <c r="O70" s="18"/>
      <c r="P70" s="18"/>
      <c r="Q70" s="18"/>
      <c r="R70" s="18"/>
      <c r="S70" s="18"/>
      <c r="T70" s="18"/>
      <c r="V70" s="40" t="s">
        <v>63</v>
      </c>
      <c r="W70" s="23">
        <f>COUNTIF(W2:W65,"NO")</f>
        <v>6</v>
      </c>
      <c r="X70" s="39">
        <f>COUNTIF(X2:X65,"NO")</f>
        <v>13</v>
      </c>
      <c r="AA70" s="33"/>
      <c r="AB70" s="34"/>
      <c r="AC70" s="34"/>
      <c r="AD70" s="34"/>
      <c r="AE70" s="34"/>
      <c r="AF70" s="35"/>
      <c r="AG70" t="s">
        <v>125</v>
      </c>
      <c r="AH70" t="s">
        <v>126</v>
      </c>
      <c r="AI70" t="s">
        <v>127</v>
      </c>
      <c r="AJ70" t="s">
        <v>128</v>
      </c>
      <c r="AK70" t="s">
        <v>129</v>
      </c>
      <c r="AL70" t="s">
        <v>130</v>
      </c>
      <c r="AN70" t="s">
        <v>64</v>
      </c>
      <c r="AO70">
        <f>COUNTIF(AO2:AO65,"YES")</f>
        <v>39</v>
      </c>
      <c r="AT70" s="146" t="s">
        <v>281</v>
      </c>
      <c r="AU70" s="152">
        <f>AU69*AS74</f>
        <v>0</v>
      </c>
      <c r="AV70" s="152">
        <f>AV69*AS74</f>
        <v>0</v>
      </c>
      <c r="AW70" s="152">
        <f>AW69*AS74</f>
        <v>0</v>
      </c>
      <c r="AX70" s="152">
        <f>AX69*AS74</f>
        <v>0</v>
      </c>
      <c r="AY70" s="152">
        <f>AY69*AS74</f>
        <v>0</v>
      </c>
      <c r="BK70" s="22" t="s">
        <v>63</v>
      </c>
      <c r="BL70">
        <f>COUNTIF(BL2:BL65,"NO")</f>
        <v>25</v>
      </c>
      <c r="BN70" t="s">
        <v>224</v>
      </c>
      <c r="BO70">
        <f>COUNTIF(BO3:BO65,"0")</f>
        <v>9</v>
      </c>
      <c r="BX70" t="s">
        <v>183</v>
      </c>
      <c r="BY70">
        <f>SUM(BY68:BY69)</f>
        <v>46</v>
      </c>
    </row>
    <row r="71" spans="1:83" ht="15.75" thickBot="1" x14ac:dyDescent="0.3">
      <c r="C71" s="18"/>
      <c r="D71" s="18"/>
      <c r="E71" s="18"/>
      <c r="F71" s="18"/>
      <c r="G71" s="18"/>
      <c r="H71" s="18"/>
      <c r="I71" s="18"/>
      <c r="J71" s="18"/>
      <c r="K71" s="18"/>
      <c r="L71" s="18"/>
      <c r="M71" s="18"/>
      <c r="N71" s="18"/>
      <c r="O71" s="18"/>
      <c r="P71" s="18"/>
      <c r="Q71" s="18"/>
      <c r="R71" s="18"/>
      <c r="S71" s="18"/>
      <c r="T71" s="18"/>
      <c r="V71" s="40" t="s">
        <v>189</v>
      </c>
      <c r="W71" s="23">
        <f>W69+W70</f>
        <v>57</v>
      </c>
      <c r="X71" s="39">
        <f>X69+X70</f>
        <v>56</v>
      </c>
      <c r="AG71" s="43">
        <f>SUM(AG2:AG64)</f>
        <v>18759.866289874375</v>
      </c>
      <c r="AH71" s="43">
        <f t="shared" ref="AH71:AL71" si="10">SUM(AH2:AH64)</f>
        <v>29865.408015812784</v>
      </c>
      <c r="AI71" s="43">
        <f t="shared" si="10"/>
        <v>669936.06925057562</v>
      </c>
      <c r="AJ71" s="43">
        <f t="shared" si="10"/>
        <v>209897.85537112769</v>
      </c>
      <c r="AK71" s="43">
        <f t="shared" si="10"/>
        <v>161672.56717914692</v>
      </c>
      <c r="AL71" s="43">
        <f t="shared" si="10"/>
        <v>86752.913552841448</v>
      </c>
      <c r="AN71" t="s">
        <v>63</v>
      </c>
      <c r="AO71">
        <f>COUNTIF(AO2:AO65,"NO")</f>
        <v>18</v>
      </c>
      <c r="AT71" s="146" t="s">
        <v>284</v>
      </c>
      <c r="AU71" s="148">
        <f>AU69*AS75</f>
        <v>0</v>
      </c>
      <c r="AV71" s="148">
        <f>AV69*AS75</f>
        <v>0</v>
      </c>
      <c r="AW71" s="148">
        <f>AW69*AS75</f>
        <v>0</v>
      </c>
      <c r="AX71" s="148">
        <f>AX69*AS75</f>
        <v>0</v>
      </c>
      <c r="AY71" s="148">
        <f>AY69*AS75</f>
        <v>0</v>
      </c>
      <c r="BK71" s="22" t="s">
        <v>183</v>
      </c>
      <c r="BL71">
        <f>SUM(BL68:BL70)</f>
        <v>33</v>
      </c>
      <c r="BN71" t="s">
        <v>227</v>
      </c>
      <c r="BO71">
        <f>COUNTA(BO3:BO66)</f>
        <v>10</v>
      </c>
    </row>
    <row r="72" spans="1:83" ht="15.75" thickBot="1" x14ac:dyDescent="0.3">
      <c r="C72" s="18"/>
      <c r="D72" s="18"/>
      <c r="E72" s="18"/>
      <c r="F72" s="18"/>
      <c r="G72" s="18"/>
      <c r="H72" s="18"/>
      <c r="I72" s="18"/>
      <c r="J72" s="18"/>
      <c r="K72" s="18"/>
      <c r="L72" s="18"/>
      <c r="M72" s="18"/>
      <c r="N72" s="18"/>
      <c r="O72" s="18"/>
      <c r="P72" s="18"/>
      <c r="Q72" s="18"/>
      <c r="R72" s="18"/>
      <c r="S72" s="18"/>
      <c r="T72" s="18"/>
      <c r="V72" s="33" t="s">
        <v>184</v>
      </c>
      <c r="W72" s="41">
        <f>W69/W71</f>
        <v>0.89473684210526316</v>
      </c>
      <c r="X72" s="42">
        <f>X69/X71</f>
        <v>0.7678571428571429</v>
      </c>
      <c r="AG72">
        <f>AG71/$AE73</f>
        <v>1.5911883007075463E-2</v>
      </c>
      <c r="AH72">
        <f t="shared" ref="AH72:AL72" si="11">AH71/$AE73</f>
        <v>2.5331464039415021E-2</v>
      </c>
      <c r="AI72">
        <f t="shared" si="11"/>
        <v>0.56823136110990635</v>
      </c>
      <c r="AJ72">
        <f t="shared" si="11"/>
        <v>0.17803272510018492</v>
      </c>
      <c r="AK72">
        <f t="shared" si="11"/>
        <v>0.13712864125245111</v>
      </c>
      <c r="AL72">
        <f t="shared" si="11"/>
        <v>7.3582731862050416E-2</v>
      </c>
      <c r="AN72" t="s">
        <v>183</v>
      </c>
      <c r="AO72">
        <f>AO70+AO71</f>
        <v>57</v>
      </c>
      <c r="BK72" s="22" t="s">
        <v>193</v>
      </c>
      <c r="BL72" s="38">
        <f>BL68/BL71</f>
        <v>0.21212121212121213</v>
      </c>
      <c r="BM72" s="38"/>
    </row>
    <row r="73" spans="1:83" x14ac:dyDescent="0.25">
      <c r="C73" s="18"/>
      <c r="D73" s="18"/>
      <c r="E73" s="18"/>
      <c r="F73" s="18"/>
      <c r="G73" s="18"/>
      <c r="H73" s="18"/>
      <c r="I73" s="18"/>
      <c r="J73" s="18"/>
      <c r="K73" s="18"/>
      <c r="L73" s="18"/>
      <c r="M73" s="18"/>
      <c r="N73" s="18"/>
      <c r="O73" s="18"/>
      <c r="P73" s="18"/>
      <c r="Q73" s="18"/>
      <c r="R73" s="18"/>
      <c r="S73" s="18"/>
      <c r="T73" s="18"/>
      <c r="AD73" t="s">
        <v>268</v>
      </c>
      <c r="AE73">
        <f>SUM(Z2:Z66)</f>
        <v>1178984.6796593785</v>
      </c>
      <c r="AG73">
        <f>AG72*$M76</f>
        <v>0</v>
      </c>
      <c r="AH73">
        <f t="shared" ref="AH73:AL73" si="12">AH72*$M76</f>
        <v>0</v>
      </c>
      <c r="AI73">
        <f t="shared" si="12"/>
        <v>0</v>
      </c>
      <c r="AJ73">
        <f t="shared" si="12"/>
        <v>0</v>
      </c>
      <c r="AK73">
        <f t="shared" si="12"/>
        <v>0</v>
      </c>
      <c r="AL73">
        <f t="shared" si="12"/>
        <v>0</v>
      </c>
      <c r="AN73" t="s">
        <v>184</v>
      </c>
      <c r="AO73" s="38">
        <f>AO70/AO72</f>
        <v>0.68421052631578949</v>
      </c>
      <c r="BK73" s="22" t="s">
        <v>192</v>
      </c>
      <c r="BL73" s="38">
        <f>BL69/BL71</f>
        <v>3.0303030303030304E-2</v>
      </c>
      <c r="BM73" s="38"/>
    </row>
    <row r="74" spans="1:83" x14ac:dyDescent="0.25">
      <c r="C74" s="18"/>
      <c r="D74" s="18"/>
      <c r="E74" s="18"/>
      <c r="F74" s="18"/>
      <c r="G74" s="18"/>
      <c r="H74" s="18"/>
      <c r="I74" s="18"/>
      <c r="J74" s="18"/>
      <c r="K74" s="18"/>
      <c r="L74" s="18"/>
      <c r="M74" s="18"/>
      <c r="N74" s="18"/>
      <c r="O74" s="18"/>
      <c r="P74" s="18"/>
      <c r="Q74" s="18"/>
      <c r="R74" s="18"/>
      <c r="S74" s="18"/>
      <c r="T74" s="18"/>
      <c r="AM74" s="18"/>
      <c r="AN74" s="18"/>
      <c r="AO74" s="18"/>
      <c r="AP74" s="18"/>
      <c r="AQ74" s="18"/>
      <c r="AR74" s="18"/>
      <c r="AS74" s="18"/>
      <c r="AT74" s="18"/>
      <c r="AU74" s="18"/>
      <c r="AV74" s="18"/>
      <c r="AW74" s="18"/>
      <c r="AX74" s="18"/>
      <c r="AY74" s="18"/>
      <c r="AZ74" s="18"/>
      <c r="BA74" s="18"/>
    </row>
    <row r="75" spans="1:83" x14ac:dyDescent="0.25">
      <c r="C75" s="18"/>
      <c r="D75" s="18"/>
      <c r="E75" s="18"/>
      <c r="F75" s="18"/>
      <c r="G75" s="18"/>
      <c r="H75" s="18"/>
      <c r="I75" s="18"/>
      <c r="J75" s="18"/>
      <c r="K75" s="18"/>
      <c r="L75" s="18"/>
      <c r="M75" s="18"/>
      <c r="N75" s="18"/>
      <c r="O75" s="18"/>
      <c r="P75" s="18"/>
      <c r="Q75" s="18"/>
      <c r="R75" s="18"/>
      <c r="S75" s="18"/>
      <c r="T75" s="18"/>
      <c r="AM75" s="18"/>
      <c r="AN75" s="18"/>
      <c r="AO75" s="18"/>
      <c r="AP75" s="18"/>
      <c r="AQ75" s="18"/>
      <c r="AR75" s="18"/>
      <c r="AS75" s="18"/>
      <c r="AT75" s="18"/>
      <c r="AU75" s="18"/>
      <c r="AV75" s="18"/>
      <c r="AW75" s="18"/>
      <c r="AX75" s="18"/>
      <c r="AY75" s="18"/>
      <c r="AZ75" s="18"/>
      <c r="BA75" s="18"/>
    </row>
    <row r="76" spans="1:83" x14ac:dyDescent="0.25">
      <c r="C76" s="18"/>
      <c r="D76" s="18"/>
      <c r="E76" s="18"/>
      <c r="F76" s="18"/>
      <c r="G76" s="18"/>
      <c r="H76" s="18"/>
      <c r="I76" s="18"/>
      <c r="J76" s="18"/>
      <c r="K76" s="18"/>
      <c r="L76" s="18"/>
      <c r="M76" s="18"/>
      <c r="N76" s="18"/>
      <c r="O76" s="18"/>
      <c r="P76" s="18"/>
      <c r="Q76" s="18"/>
      <c r="R76" s="18"/>
      <c r="S76" s="18"/>
      <c r="T76" s="18"/>
      <c r="AM76" s="18"/>
      <c r="AN76" s="18"/>
      <c r="AO76" s="18"/>
      <c r="AP76" s="18"/>
      <c r="AQ76" s="18"/>
      <c r="AR76" s="18"/>
      <c r="AS76" s="18"/>
      <c r="AT76" s="18"/>
      <c r="AU76" s="18"/>
      <c r="AV76" s="18"/>
      <c r="AW76" s="18"/>
      <c r="AX76" s="18"/>
      <c r="AY76" s="18"/>
      <c r="AZ76" s="18"/>
      <c r="BA76" s="18"/>
    </row>
    <row r="77" spans="1:83" x14ac:dyDescent="0.25">
      <c r="C77" s="18"/>
      <c r="D77" s="18"/>
      <c r="E77" s="18"/>
      <c r="F77" s="18"/>
      <c r="G77" s="18"/>
      <c r="H77" s="18"/>
      <c r="I77" s="18"/>
      <c r="J77" s="18"/>
      <c r="K77" s="18"/>
      <c r="L77" s="18"/>
      <c r="M77" s="18"/>
      <c r="N77" s="18"/>
      <c r="O77" s="18"/>
      <c r="P77" s="18"/>
      <c r="Q77" s="18"/>
      <c r="R77" s="18"/>
      <c r="S77" s="18"/>
      <c r="T77" s="18"/>
      <c r="AM77" s="18"/>
      <c r="AN77" s="18"/>
      <c r="AO77" s="18"/>
      <c r="AP77" s="18"/>
      <c r="AQ77" s="18"/>
      <c r="AR77" s="18"/>
      <c r="AS77" s="18"/>
      <c r="AT77" s="18"/>
      <c r="AU77" s="18"/>
      <c r="AV77" s="18"/>
      <c r="AW77" s="18"/>
      <c r="AX77" s="18"/>
      <c r="AY77" s="18"/>
      <c r="AZ77" s="18"/>
      <c r="BA77" s="18"/>
    </row>
    <row r="78" spans="1:83" x14ac:dyDescent="0.25">
      <c r="C78" s="18"/>
      <c r="D78" s="18"/>
      <c r="E78" s="18"/>
      <c r="F78" s="18"/>
      <c r="G78" s="18"/>
      <c r="H78" s="18"/>
      <c r="I78" s="18"/>
      <c r="J78" s="18"/>
      <c r="K78" s="18"/>
      <c r="L78" s="18"/>
      <c r="M78" s="18"/>
      <c r="N78" s="18"/>
      <c r="O78" s="18"/>
      <c r="P78" s="18"/>
      <c r="Q78" s="18"/>
      <c r="R78" s="18"/>
      <c r="S78" s="18"/>
      <c r="T78" s="18"/>
      <c r="AM78" s="18"/>
      <c r="AN78" s="18"/>
      <c r="AO78" s="18"/>
      <c r="AP78" s="20"/>
      <c r="AQ78" s="20"/>
      <c r="AR78" s="20"/>
      <c r="AS78" s="20"/>
      <c r="AT78" s="20"/>
      <c r="AU78" s="20"/>
      <c r="AV78" s="20"/>
      <c r="AW78" s="20"/>
      <c r="AX78" s="20"/>
      <c r="AY78" s="20"/>
      <c r="AZ78" s="18"/>
      <c r="BA78" s="18"/>
    </row>
    <row r="79" spans="1:83" x14ac:dyDescent="0.25">
      <c r="C79" s="18"/>
      <c r="D79" s="18"/>
      <c r="E79" s="18"/>
      <c r="F79" s="18"/>
      <c r="G79" s="18"/>
      <c r="H79" s="18"/>
      <c r="I79" s="18"/>
      <c r="J79" s="18"/>
      <c r="K79" s="18"/>
      <c r="L79" s="18"/>
      <c r="M79" s="18"/>
      <c r="N79" s="18"/>
      <c r="O79" s="18"/>
      <c r="P79" s="18"/>
      <c r="Q79" s="18"/>
      <c r="R79" s="18"/>
      <c r="S79" s="18"/>
      <c r="T79" s="18"/>
      <c r="AM79" s="18"/>
      <c r="AN79" s="18"/>
      <c r="AO79" s="18"/>
      <c r="AP79" s="18"/>
      <c r="AQ79" s="18"/>
      <c r="AR79" s="18"/>
      <c r="AS79" s="18"/>
      <c r="AT79" s="18"/>
      <c r="AU79" s="18"/>
      <c r="AV79" s="18"/>
      <c r="AW79" s="18"/>
      <c r="AX79" s="18"/>
      <c r="AY79" s="18"/>
      <c r="AZ79" s="18"/>
      <c r="BA79" s="18"/>
    </row>
    <row r="80" spans="1:83" x14ac:dyDescent="0.25">
      <c r="C80" s="18"/>
      <c r="D80" s="18"/>
      <c r="E80" s="18"/>
      <c r="F80" s="18"/>
      <c r="G80" s="18"/>
      <c r="H80" s="18"/>
      <c r="I80" s="18"/>
      <c r="J80" s="18"/>
      <c r="K80" s="18"/>
      <c r="L80" s="18"/>
      <c r="M80" s="18"/>
      <c r="N80" s="18"/>
      <c r="O80" s="18"/>
      <c r="P80" s="18"/>
      <c r="Q80" s="18"/>
      <c r="R80" s="18"/>
      <c r="S80" s="18"/>
      <c r="T80" s="18"/>
      <c r="AM80" s="18"/>
      <c r="AN80" s="18"/>
      <c r="AO80" s="18"/>
      <c r="AP80" s="18"/>
      <c r="AQ80" s="18"/>
      <c r="AR80" s="18"/>
      <c r="AS80" s="18"/>
      <c r="AT80" s="18"/>
      <c r="AU80" s="18"/>
      <c r="AV80" s="18"/>
      <c r="AW80" s="18"/>
      <c r="AX80" s="18"/>
      <c r="AY80" s="18"/>
      <c r="AZ80" s="18"/>
      <c r="BA80" s="18"/>
    </row>
    <row r="81" spans="3:53" x14ac:dyDescent="0.25">
      <c r="C81" s="18"/>
      <c r="D81" s="18"/>
      <c r="E81" s="18"/>
      <c r="F81" s="18"/>
      <c r="G81" s="18"/>
      <c r="H81" s="18"/>
      <c r="I81" s="18"/>
      <c r="J81" s="18"/>
      <c r="K81" s="18"/>
      <c r="L81" s="18"/>
      <c r="M81" s="18"/>
      <c r="N81" s="18"/>
      <c r="O81" s="18"/>
      <c r="P81" s="18"/>
      <c r="Q81" s="18"/>
      <c r="R81" s="18"/>
      <c r="S81" s="18"/>
      <c r="T81" s="18"/>
      <c r="AM81" s="18"/>
      <c r="AN81" s="18"/>
      <c r="AO81" s="18"/>
      <c r="AP81" s="18"/>
      <c r="AQ81" s="18"/>
      <c r="AR81" s="18"/>
      <c r="AS81" s="18"/>
      <c r="AT81" s="18"/>
      <c r="AU81" s="18"/>
      <c r="AV81" s="18"/>
      <c r="AW81" s="18"/>
      <c r="AX81" s="18"/>
      <c r="AY81" s="18"/>
      <c r="AZ81" s="18"/>
      <c r="BA81" s="18"/>
    </row>
    <row r="82" spans="3:53" x14ac:dyDescent="0.25">
      <c r="C82" s="18"/>
      <c r="D82" s="18"/>
      <c r="E82" s="18"/>
      <c r="F82" s="18"/>
      <c r="G82" s="18"/>
      <c r="H82" s="18"/>
      <c r="I82" s="18"/>
      <c r="J82" s="18"/>
      <c r="K82" s="18"/>
      <c r="L82" s="18"/>
      <c r="M82" s="18"/>
      <c r="N82" s="18"/>
      <c r="O82" s="18"/>
      <c r="P82" s="18"/>
      <c r="Q82" s="18"/>
      <c r="R82" s="18"/>
      <c r="S82" s="18"/>
      <c r="T82" s="18"/>
      <c r="AM82" s="18"/>
      <c r="AN82" s="18"/>
      <c r="AO82" s="18"/>
      <c r="AP82" s="18"/>
      <c r="AQ82" s="18"/>
      <c r="AR82" s="18"/>
      <c r="AS82" s="18"/>
      <c r="AT82" s="18"/>
      <c r="AU82" s="18"/>
      <c r="AV82" s="18"/>
      <c r="AW82" s="18"/>
      <c r="AX82" s="18"/>
      <c r="AY82" s="18"/>
      <c r="AZ82" s="18"/>
      <c r="BA82" s="18"/>
    </row>
    <row r="83" spans="3:53" x14ac:dyDescent="0.25">
      <c r="C83" s="18"/>
      <c r="D83" s="18"/>
      <c r="E83" s="18"/>
      <c r="F83" s="18"/>
      <c r="G83" s="18"/>
      <c r="H83" s="18"/>
      <c r="I83" s="18"/>
      <c r="J83" s="18"/>
      <c r="K83" s="18"/>
      <c r="L83" s="18"/>
      <c r="M83" s="18"/>
      <c r="N83" s="18"/>
      <c r="O83" s="18"/>
      <c r="P83" s="18"/>
      <c r="Q83" s="18"/>
      <c r="R83" s="18"/>
      <c r="S83" s="18"/>
      <c r="T83" s="18"/>
      <c r="AM83" s="18"/>
      <c r="AN83" s="18"/>
      <c r="AO83" s="18"/>
      <c r="AP83" s="18"/>
      <c r="AQ83" s="18"/>
      <c r="AR83" s="18"/>
      <c r="AS83" s="18"/>
      <c r="AT83" s="18"/>
      <c r="AU83" s="18"/>
      <c r="AV83" s="18"/>
      <c r="AW83" s="18"/>
      <c r="AX83" s="18"/>
      <c r="AY83" s="18"/>
      <c r="AZ83" s="18"/>
      <c r="BA83" s="18"/>
    </row>
    <row r="84" spans="3:53" x14ac:dyDescent="0.25">
      <c r="C84" s="18"/>
      <c r="D84" s="18"/>
      <c r="E84" s="18"/>
      <c r="F84" s="18"/>
      <c r="G84" s="18"/>
      <c r="H84" s="18"/>
      <c r="I84" s="18"/>
      <c r="J84" s="18"/>
      <c r="K84" s="18"/>
      <c r="L84" s="18"/>
      <c r="M84" s="18"/>
      <c r="N84" s="18"/>
      <c r="O84" s="18"/>
      <c r="P84" s="18"/>
      <c r="Q84" s="18"/>
      <c r="R84" s="18"/>
      <c r="S84" s="18"/>
      <c r="T84" s="18"/>
      <c r="AM84" s="18"/>
      <c r="AN84" s="18"/>
      <c r="AO84" s="18"/>
      <c r="AP84" s="18"/>
      <c r="AQ84" s="18"/>
      <c r="AR84" s="18"/>
      <c r="AS84" s="18"/>
      <c r="AT84" s="18"/>
      <c r="AU84" s="18"/>
      <c r="AV84" s="18"/>
      <c r="AW84" s="18"/>
      <c r="AX84" s="18"/>
      <c r="AY84" s="18"/>
      <c r="AZ84" s="18"/>
      <c r="BA84" s="18"/>
    </row>
    <row r="85" spans="3:53" x14ac:dyDescent="0.25">
      <c r="C85" s="18"/>
      <c r="D85" s="18"/>
      <c r="E85" s="18"/>
      <c r="F85" s="18"/>
      <c r="G85" s="18"/>
      <c r="H85" s="18"/>
      <c r="I85" s="18"/>
      <c r="J85" s="18"/>
      <c r="K85" s="18"/>
      <c r="L85" s="18"/>
      <c r="M85" s="18"/>
      <c r="N85" s="18"/>
      <c r="O85" s="18"/>
      <c r="P85" s="18"/>
      <c r="Q85" s="18"/>
      <c r="R85" s="18"/>
      <c r="S85" s="18"/>
      <c r="T85" s="18"/>
      <c r="AM85" s="18"/>
      <c r="AN85" s="18"/>
      <c r="AO85" s="18"/>
      <c r="AP85" s="18"/>
      <c r="AQ85" s="18"/>
      <c r="AR85" s="18"/>
      <c r="AS85" s="18"/>
      <c r="AT85" s="18"/>
      <c r="AU85" s="18"/>
      <c r="AV85" s="18"/>
      <c r="AW85" s="18"/>
      <c r="AX85" s="18"/>
      <c r="AY85" s="18"/>
      <c r="AZ85" s="18"/>
      <c r="BA85" s="18"/>
    </row>
    <row r="86" spans="3:53" x14ac:dyDescent="0.25">
      <c r="C86" s="18"/>
      <c r="D86" s="18"/>
      <c r="E86" s="18"/>
      <c r="F86" s="18"/>
      <c r="G86" s="18"/>
      <c r="H86" s="18"/>
      <c r="I86" s="18"/>
      <c r="J86" s="18"/>
      <c r="K86" s="18"/>
      <c r="L86" s="18"/>
      <c r="M86" s="18"/>
      <c r="N86" s="18"/>
      <c r="O86" s="18"/>
      <c r="P86" s="18"/>
      <c r="Q86" s="18"/>
      <c r="R86" s="18"/>
      <c r="S86" s="18"/>
      <c r="T86" s="18"/>
      <c r="AM86" s="18"/>
      <c r="AN86" s="18"/>
      <c r="AO86" s="18"/>
      <c r="AP86" s="18"/>
      <c r="AQ86" s="18"/>
      <c r="AR86" s="18"/>
      <c r="AS86" s="18"/>
      <c r="AT86" s="18"/>
      <c r="AU86" s="18"/>
      <c r="AV86" s="18"/>
      <c r="AW86" s="18"/>
      <c r="AX86" s="18"/>
      <c r="AY86" s="18"/>
      <c r="AZ86" s="18"/>
      <c r="BA86" s="18"/>
    </row>
    <row r="87" spans="3:53" x14ac:dyDescent="0.25">
      <c r="C87" s="18"/>
      <c r="D87" s="18"/>
      <c r="E87" s="18"/>
      <c r="F87" s="18"/>
      <c r="G87" s="18"/>
      <c r="H87" s="18"/>
      <c r="I87" s="18"/>
      <c r="J87" s="18"/>
      <c r="K87" s="18"/>
      <c r="L87" s="18"/>
      <c r="M87" s="18"/>
      <c r="N87" s="18"/>
      <c r="O87" s="18"/>
      <c r="P87" s="18"/>
      <c r="Q87" s="18"/>
      <c r="R87" s="18"/>
      <c r="S87" s="18"/>
      <c r="T87" s="18"/>
      <c r="AM87" s="18"/>
      <c r="AN87" s="18"/>
      <c r="AO87" s="18"/>
      <c r="AP87" s="18"/>
      <c r="AQ87" s="18"/>
      <c r="AR87" s="18"/>
      <c r="AS87" s="18"/>
      <c r="AT87" s="18"/>
      <c r="AU87" s="18"/>
      <c r="AV87" s="18"/>
      <c r="AW87" s="18"/>
      <c r="AX87" s="18"/>
      <c r="AY87" s="18"/>
      <c r="AZ87" s="18"/>
      <c r="BA87" s="18"/>
    </row>
    <row r="88" spans="3:53" x14ac:dyDescent="0.25">
      <c r="AM88" s="18"/>
      <c r="AN88" s="18"/>
      <c r="AO88" s="18"/>
      <c r="AP88" s="18"/>
      <c r="AQ88" s="18"/>
      <c r="AR88" s="18"/>
      <c r="AS88" s="18"/>
      <c r="AT88" s="18"/>
      <c r="AU88" s="18"/>
      <c r="AV88" s="18"/>
      <c r="AW88" s="18"/>
      <c r="AX88" s="18"/>
      <c r="AY88" s="18"/>
      <c r="AZ88" s="18"/>
      <c r="BA88" s="18"/>
    </row>
    <row r="89" spans="3:53" x14ac:dyDescent="0.25">
      <c r="AM89" s="18"/>
      <c r="AN89" s="18"/>
      <c r="AO89" s="18"/>
      <c r="AP89" s="18"/>
      <c r="AQ89" s="18"/>
      <c r="AR89" s="18"/>
      <c r="AS89" s="18"/>
      <c r="AT89" s="18"/>
      <c r="AU89" s="18"/>
      <c r="AV89" s="18"/>
      <c r="AW89" s="18"/>
      <c r="AX89" s="18"/>
      <c r="AY89" s="18"/>
      <c r="AZ89" s="18"/>
      <c r="BA89" s="18"/>
    </row>
    <row r="90" spans="3:53" x14ac:dyDescent="0.25">
      <c r="AM90" s="18"/>
      <c r="AN90" s="18"/>
      <c r="AO90" s="18"/>
      <c r="AP90" s="18"/>
      <c r="AQ90" s="18"/>
      <c r="AR90" s="18"/>
      <c r="AS90" s="18"/>
      <c r="AT90" s="18"/>
      <c r="AU90" s="18"/>
      <c r="AV90" s="18"/>
      <c r="AW90" s="18"/>
      <c r="AX90" s="18"/>
      <c r="AY90" s="18"/>
      <c r="AZ90" s="18"/>
      <c r="BA90" s="18"/>
    </row>
    <row r="91" spans="3:53" x14ac:dyDescent="0.25">
      <c r="AM91" s="18"/>
      <c r="AN91" s="18"/>
      <c r="AO91" s="18"/>
      <c r="AP91" s="18"/>
      <c r="AQ91" s="18"/>
      <c r="AR91" s="18"/>
      <c r="AS91" s="18"/>
      <c r="AT91" s="18"/>
      <c r="AU91" s="18"/>
      <c r="AV91" s="18"/>
      <c r="AW91" s="18"/>
      <c r="AX91" s="18"/>
      <c r="AY91" s="18"/>
      <c r="AZ91" s="18"/>
      <c r="BA91" s="18"/>
    </row>
    <row r="92" spans="3:53" x14ac:dyDescent="0.25">
      <c r="AM92" s="18"/>
      <c r="AN92" s="18"/>
      <c r="AO92" s="18"/>
      <c r="AP92" s="18"/>
      <c r="AQ92" s="18"/>
      <c r="AR92" s="18"/>
      <c r="AS92" s="18"/>
      <c r="AT92" s="18"/>
      <c r="AU92" s="18"/>
      <c r="AV92" s="18"/>
      <c r="AW92" s="18"/>
      <c r="AX92" s="18"/>
      <c r="AY92" s="18"/>
      <c r="AZ92" s="18"/>
      <c r="BA92" s="18"/>
    </row>
    <row r="93" spans="3:53" x14ac:dyDescent="0.25">
      <c r="AM93" s="18"/>
      <c r="AN93" s="18"/>
      <c r="AO93" s="18"/>
      <c r="AP93" s="18"/>
      <c r="AQ93" s="18"/>
      <c r="AR93" s="18"/>
      <c r="AS93" s="18"/>
      <c r="AT93" s="18"/>
      <c r="AU93" s="18"/>
      <c r="AV93" s="18"/>
      <c r="AW93" s="18"/>
      <c r="AX93" s="18"/>
      <c r="AY93" s="18"/>
      <c r="AZ93" s="18"/>
      <c r="BA93" s="18"/>
    </row>
    <row r="94" spans="3:53" x14ac:dyDescent="0.25">
      <c r="AM94" s="18"/>
      <c r="AN94" s="18"/>
      <c r="AO94" s="18"/>
      <c r="AP94" s="18"/>
      <c r="AQ94" s="18"/>
      <c r="AR94" s="18"/>
      <c r="AS94" s="18"/>
      <c r="AT94" s="18"/>
      <c r="AU94" s="18"/>
      <c r="AV94" s="18"/>
      <c r="AW94" s="18"/>
      <c r="AX94" s="18"/>
      <c r="AY94" s="18"/>
      <c r="AZ94" s="18"/>
      <c r="BA94" s="18"/>
    </row>
    <row r="95" spans="3:53" x14ac:dyDescent="0.25">
      <c r="AM95" s="18"/>
      <c r="AN95" s="18"/>
      <c r="AO95" s="18"/>
      <c r="AP95" s="18"/>
      <c r="AQ95" s="18"/>
      <c r="AR95" s="18"/>
      <c r="AS95" s="18"/>
      <c r="AT95" s="18"/>
      <c r="AU95" s="18"/>
      <c r="AV95" s="18"/>
      <c r="AW95" s="18"/>
      <c r="AX95" s="18"/>
      <c r="AY95" s="18"/>
      <c r="AZ95" s="18"/>
      <c r="BA95" s="18"/>
    </row>
    <row r="96" spans="3:53" x14ac:dyDescent="0.25">
      <c r="AM96" s="18"/>
      <c r="AN96" s="18"/>
      <c r="AO96" s="18"/>
      <c r="AP96" s="18"/>
      <c r="AQ96" s="18"/>
      <c r="AR96" s="18"/>
      <c r="AS96" s="18"/>
      <c r="AT96" s="18"/>
      <c r="AU96" s="18"/>
      <c r="AV96" s="18"/>
      <c r="AW96" s="18"/>
      <c r="AX96" s="18"/>
      <c r="AY96" s="18"/>
      <c r="AZ96" s="18"/>
      <c r="BA96" s="18"/>
    </row>
    <row r="97" spans="39:53" x14ac:dyDescent="0.25">
      <c r="AM97" s="18"/>
      <c r="AN97" s="18"/>
      <c r="AO97" s="18"/>
      <c r="AP97" s="18"/>
      <c r="AQ97" s="18"/>
      <c r="AR97" s="18"/>
      <c r="AS97" s="18"/>
      <c r="AT97" s="18"/>
      <c r="AU97" s="18"/>
      <c r="AV97" s="18"/>
      <c r="AW97" s="18"/>
      <c r="AX97" s="18"/>
      <c r="AY97" s="18"/>
      <c r="AZ97" s="18"/>
      <c r="BA97" s="18"/>
    </row>
    <row r="98" spans="39:53" x14ac:dyDescent="0.25">
      <c r="AM98" s="18"/>
      <c r="AN98" s="18"/>
      <c r="AO98" s="18"/>
      <c r="AP98" s="18"/>
      <c r="AQ98" s="18"/>
      <c r="AR98" s="18"/>
      <c r="AS98" s="18"/>
      <c r="AT98" s="18"/>
      <c r="AU98" s="18"/>
      <c r="AV98" s="18"/>
      <c r="AW98" s="18"/>
      <c r="AX98" s="18"/>
      <c r="AY98" s="18"/>
      <c r="AZ98" s="18"/>
      <c r="BA98" s="18"/>
    </row>
    <row r="99" spans="39:53" x14ac:dyDescent="0.25">
      <c r="AM99" s="18"/>
      <c r="AN99" s="18"/>
      <c r="AO99" s="18"/>
      <c r="AP99" s="18"/>
      <c r="AQ99" s="18"/>
      <c r="AR99" s="18"/>
      <c r="AS99" s="18"/>
      <c r="AT99" s="18"/>
      <c r="AU99" s="18"/>
      <c r="AV99" s="18"/>
      <c r="AW99" s="18"/>
      <c r="AX99" s="18"/>
      <c r="AY99" s="18"/>
      <c r="AZ99" s="18"/>
      <c r="BA99" s="18"/>
    </row>
    <row r="100" spans="39:53" x14ac:dyDescent="0.25">
      <c r="AM100" s="18"/>
      <c r="AN100" s="18"/>
      <c r="AO100" s="18"/>
      <c r="AP100" s="18"/>
      <c r="AQ100" s="18"/>
      <c r="AR100" s="18"/>
      <c r="AS100" s="18"/>
      <c r="AT100" s="18"/>
      <c r="AU100" s="18"/>
      <c r="AV100" s="18"/>
      <c r="AW100" s="18"/>
      <c r="AX100" s="18"/>
      <c r="AY100" s="18"/>
      <c r="AZ100" s="18"/>
      <c r="BA100" s="18"/>
    </row>
    <row r="101" spans="39:53" x14ac:dyDescent="0.25">
      <c r="AM101" s="18"/>
      <c r="AN101" s="18"/>
      <c r="AO101" s="18"/>
      <c r="AP101" s="18"/>
      <c r="AQ101" s="18"/>
      <c r="AR101" s="18"/>
      <c r="AS101" s="18"/>
      <c r="AT101" s="18"/>
      <c r="AU101" s="18"/>
      <c r="AV101" s="18"/>
      <c r="AW101" s="18"/>
      <c r="AX101" s="18"/>
      <c r="AY101" s="18"/>
      <c r="AZ101" s="18"/>
      <c r="BA101" s="18"/>
    </row>
    <row r="102" spans="39:53" x14ac:dyDescent="0.25">
      <c r="AM102" s="18"/>
      <c r="AN102" s="18"/>
      <c r="AO102" s="18"/>
      <c r="AP102" s="18"/>
      <c r="AQ102" s="18"/>
      <c r="AR102" s="18"/>
      <c r="AS102" s="18"/>
      <c r="AT102" s="18"/>
      <c r="AU102" s="18"/>
      <c r="AV102" s="18"/>
      <c r="AW102" s="18"/>
      <c r="AX102" s="18"/>
      <c r="AY102" s="18"/>
      <c r="AZ102" s="18"/>
      <c r="BA102" s="18"/>
    </row>
    <row r="103" spans="39:53" x14ac:dyDescent="0.25">
      <c r="AM103" s="18"/>
      <c r="AN103" s="18"/>
      <c r="AO103" s="18"/>
      <c r="AP103" s="18"/>
      <c r="AQ103" s="18"/>
      <c r="AR103" s="18"/>
      <c r="AS103" s="18"/>
      <c r="AT103" s="18"/>
      <c r="AU103" s="18"/>
      <c r="AV103" s="18"/>
      <c r="AW103" s="18"/>
      <c r="AX103" s="18"/>
      <c r="AY103" s="18"/>
      <c r="AZ103" s="18"/>
      <c r="BA103" s="18"/>
    </row>
    <row r="104" spans="39:53" x14ac:dyDescent="0.25">
      <c r="AM104" s="18"/>
      <c r="AN104" s="18"/>
      <c r="AO104" s="18"/>
      <c r="AP104" s="18"/>
      <c r="AQ104" s="18"/>
      <c r="AR104" s="18"/>
      <c r="AS104" s="18"/>
      <c r="AT104" s="18"/>
      <c r="AU104" s="18"/>
      <c r="AV104" s="18"/>
      <c r="AW104" s="18"/>
      <c r="AX104" s="18"/>
      <c r="AY104" s="18"/>
      <c r="AZ104" s="18"/>
      <c r="BA104" s="18"/>
    </row>
    <row r="105" spans="39:53" x14ac:dyDescent="0.25">
      <c r="AM105" s="18"/>
      <c r="AN105" s="18"/>
      <c r="AO105" s="18"/>
      <c r="AP105" s="18"/>
      <c r="AQ105" s="18"/>
      <c r="AR105" s="18"/>
      <c r="AS105" s="18"/>
      <c r="AT105" s="18"/>
      <c r="AU105" s="18"/>
      <c r="AV105" s="18"/>
      <c r="AW105" s="18"/>
      <c r="AX105" s="18"/>
      <c r="AY105" s="18"/>
      <c r="AZ105" s="18"/>
      <c r="BA105" s="18"/>
    </row>
    <row r="106" spans="39:53" x14ac:dyDescent="0.25">
      <c r="AM106" s="18"/>
      <c r="AN106" s="18"/>
      <c r="AO106" s="18"/>
      <c r="AP106" s="18"/>
      <c r="AQ106" s="18"/>
      <c r="AR106" s="18"/>
      <c r="AS106" s="18"/>
      <c r="AT106" s="18"/>
      <c r="AU106" s="18"/>
      <c r="AV106" s="18"/>
      <c r="AW106" s="18"/>
      <c r="AX106" s="18"/>
      <c r="AY106" s="18"/>
      <c r="AZ106" s="18"/>
      <c r="BA106" s="18"/>
    </row>
    <row r="107" spans="39:53" x14ac:dyDescent="0.25">
      <c r="AM107" s="18"/>
      <c r="AN107" s="18"/>
      <c r="AO107" s="18"/>
      <c r="AP107" s="18"/>
      <c r="AQ107" s="18"/>
      <c r="AR107" s="18"/>
      <c r="AS107" s="18"/>
      <c r="AT107" s="18"/>
      <c r="AU107" s="18"/>
      <c r="AV107" s="18"/>
      <c r="AW107" s="18"/>
      <c r="AX107" s="18"/>
      <c r="AY107" s="18"/>
      <c r="AZ107" s="18"/>
      <c r="BA107" s="18"/>
    </row>
    <row r="108" spans="39:53" x14ac:dyDescent="0.25">
      <c r="AM108" s="18"/>
      <c r="AN108" s="18"/>
      <c r="AO108" s="18"/>
      <c r="AP108" s="18"/>
      <c r="AQ108" s="18"/>
      <c r="AR108" s="18"/>
      <c r="AS108" s="18"/>
      <c r="AT108" s="18"/>
      <c r="AU108" s="18"/>
      <c r="AV108" s="18"/>
      <c r="AW108" s="18"/>
      <c r="AX108" s="18"/>
      <c r="AY108" s="18"/>
      <c r="AZ108" s="18"/>
      <c r="BA108" s="18"/>
    </row>
    <row r="109" spans="39:53" x14ac:dyDescent="0.25">
      <c r="AM109" s="18"/>
      <c r="AN109" s="18"/>
      <c r="AO109" s="18"/>
      <c r="AP109" s="18"/>
      <c r="AQ109" s="18"/>
      <c r="AR109" s="18"/>
      <c r="AS109" s="18"/>
      <c r="AT109" s="18"/>
      <c r="AU109" s="18"/>
      <c r="AV109" s="18"/>
      <c r="AW109" s="18"/>
      <c r="AX109" s="18"/>
      <c r="AY109" s="18"/>
      <c r="AZ109" s="18"/>
      <c r="BA109" s="18"/>
    </row>
    <row r="110" spans="39:53" x14ac:dyDescent="0.25">
      <c r="AM110" s="18"/>
      <c r="AN110" s="18"/>
      <c r="AO110" s="18"/>
      <c r="AP110" s="18"/>
      <c r="AQ110" s="18"/>
      <c r="AR110" s="18"/>
      <c r="AS110" s="18"/>
      <c r="AT110" s="18"/>
      <c r="AU110" s="18"/>
      <c r="AV110" s="18"/>
      <c r="AW110" s="18"/>
      <c r="AX110" s="18"/>
      <c r="AY110" s="18"/>
      <c r="AZ110" s="18"/>
      <c r="BA110" s="18"/>
    </row>
    <row r="111" spans="39:53" x14ac:dyDescent="0.25">
      <c r="AM111" s="18"/>
      <c r="AN111" s="18"/>
      <c r="AO111" s="18"/>
      <c r="AP111" s="18"/>
      <c r="AQ111" s="18"/>
      <c r="AR111" s="18"/>
      <c r="AS111" s="18"/>
      <c r="AT111" s="18"/>
      <c r="AU111" s="18"/>
      <c r="AV111" s="18"/>
      <c r="AW111" s="18"/>
      <c r="AX111" s="18"/>
      <c r="AY111" s="18"/>
      <c r="AZ111" s="18"/>
      <c r="BA111" s="18"/>
    </row>
    <row r="112" spans="39:53" x14ac:dyDescent="0.25">
      <c r="AM112" s="18"/>
      <c r="AN112" s="18"/>
      <c r="AO112" s="18"/>
      <c r="AP112" s="18"/>
      <c r="AQ112" s="18"/>
      <c r="AR112" s="18"/>
      <c r="AS112" s="18"/>
      <c r="AT112" s="18"/>
      <c r="AU112" s="18"/>
      <c r="AV112" s="18"/>
      <c r="AW112" s="18"/>
      <c r="AX112" s="18"/>
      <c r="AY112" s="18"/>
      <c r="AZ112" s="18"/>
      <c r="BA112" s="18"/>
    </row>
    <row r="113" spans="39:53" x14ac:dyDescent="0.25">
      <c r="AM113" s="18"/>
      <c r="AN113" s="18"/>
      <c r="AO113" s="18"/>
      <c r="AP113" s="18"/>
      <c r="AQ113" s="18"/>
      <c r="AR113" s="18"/>
      <c r="AS113" s="18"/>
      <c r="AT113" s="18"/>
      <c r="AU113" s="18"/>
      <c r="AV113" s="18"/>
      <c r="AW113" s="18"/>
      <c r="AX113" s="18"/>
      <c r="AY113" s="18"/>
      <c r="AZ113" s="18"/>
      <c r="BA113" s="18"/>
    </row>
    <row r="114" spans="39:53" x14ac:dyDescent="0.25">
      <c r="AM114" s="18"/>
      <c r="AN114" s="18"/>
      <c r="AO114" s="18"/>
      <c r="AP114" s="18"/>
      <c r="AQ114" s="18"/>
      <c r="AR114" s="18"/>
      <c r="AS114" s="18"/>
      <c r="AT114" s="18"/>
      <c r="AU114" s="18"/>
      <c r="AV114" s="18"/>
      <c r="AW114" s="18"/>
      <c r="AX114" s="18"/>
      <c r="AY114" s="18"/>
      <c r="AZ114" s="18"/>
      <c r="BA114" s="18"/>
    </row>
    <row r="115" spans="39:53" x14ac:dyDescent="0.25">
      <c r="AM115" s="18"/>
      <c r="AN115" s="18"/>
      <c r="AO115" s="18"/>
      <c r="AP115" s="18"/>
      <c r="AQ115" s="18"/>
      <c r="AR115" s="18"/>
      <c r="AS115" s="18"/>
      <c r="AT115" s="18"/>
      <c r="AU115" s="18"/>
      <c r="AV115" s="18"/>
      <c r="AW115" s="18"/>
      <c r="AX115" s="18"/>
      <c r="AY115" s="18"/>
      <c r="AZ115" s="18"/>
      <c r="BA115" s="18"/>
    </row>
    <row r="116" spans="39:53" x14ac:dyDescent="0.25">
      <c r="AM116" s="18"/>
      <c r="AN116" s="18"/>
      <c r="AO116" s="18"/>
      <c r="AP116" s="18"/>
      <c r="AQ116" s="18"/>
      <c r="AR116" s="18"/>
      <c r="AS116" s="18"/>
      <c r="AT116" s="18"/>
      <c r="AU116" s="18"/>
      <c r="AV116" s="18"/>
      <c r="AW116" s="18"/>
      <c r="AX116" s="18"/>
      <c r="AY116" s="18"/>
      <c r="AZ116" s="18"/>
      <c r="BA116" s="18"/>
    </row>
    <row r="117" spans="39:53" x14ac:dyDescent="0.25">
      <c r="AM117" s="18"/>
      <c r="AN117" s="18"/>
      <c r="AO117" s="18"/>
      <c r="AP117" s="18"/>
      <c r="AQ117" s="18"/>
      <c r="AR117" s="18"/>
      <c r="AS117" s="18"/>
      <c r="AT117" s="18"/>
      <c r="AU117" s="18"/>
      <c r="AV117" s="18"/>
      <c r="AW117" s="18"/>
      <c r="AX117" s="18"/>
      <c r="AY117" s="18"/>
      <c r="AZ117" s="18"/>
      <c r="BA117" s="18"/>
    </row>
    <row r="118" spans="39:53" x14ac:dyDescent="0.25">
      <c r="AM118" s="18"/>
      <c r="AN118" s="18"/>
      <c r="AO118" s="18"/>
      <c r="AP118" s="18"/>
      <c r="AQ118" s="18"/>
      <c r="AR118" s="18"/>
      <c r="AS118" s="18"/>
      <c r="AT118" s="18"/>
      <c r="AU118" s="18"/>
      <c r="AV118" s="18"/>
      <c r="AW118" s="18"/>
      <c r="AX118" s="18"/>
      <c r="AY118" s="18"/>
      <c r="AZ118" s="18"/>
      <c r="BA118" s="18"/>
    </row>
    <row r="119" spans="39:53" x14ac:dyDescent="0.25">
      <c r="AM119" s="18"/>
      <c r="AN119" s="18"/>
      <c r="AO119" s="18"/>
      <c r="AP119" s="18"/>
      <c r="AQ119" s="18"/>
      <c r="AR119" s="18"/>
      <c r="AS119" s="18"/>
      <c r="AT119" s="18"/>
      <c r="AU119" s="18"/>
      <c r="AV119" s="18"/>
      <c r="AW119" s="18"/>
      <c r="AX119" s="18"/>
      <c r="AY119" s="18"/>
      <c r="AZ119" s="18"/>
      <c r="BA119" s="18"/>
    </row>
    <row r="120" spans="39:53" x14ac:dyDescent="0.25">
      <c r="AM120" s="18"/>
      <c r="AN120" s="18"/>
      <c r="AO120" s="18"/>
      <c r="AP120" s="18"/>
      <c r="AQ120" s="18"/>
      <c r="AR120" s="18"/>
      <c r="AS120" s="18"/>
      <c r="AT120" s="18"/>
      <c r="AU120" s="18"/>
      <c r="AV120" s="18"/>
      <c r="AW120" s="18"/>
      <c r="AX120" s="18"/>
      <c r="AY120" s="18"/>
      <c r="AZ120" s="18"/>
      <c r="BA120" s="18"/>
    </row>
    <row r="121" spans="39:53" x14ac:dyDescent="0.25">
      <c r="AM121" s="18"/>
      <c r="AN121" s="18"/>
      <c r="AO121" s="18"/>
      <c r="AP121" s="18"/>
      <c r="AQ121" s="18"/>
      <c r="AR121" s="18"/>
      <c r="AS121" s="18"/>
      <c r="AT121" s="18"/>
      <c r="AU121" s="18"/>
      <c r="AV121" s="18"/>
      <c r="AW121" s="18"/>
      <c r="AX121" s="18"/>
      <c r="AY121" s="18"/>
      <c r="AZ121" s="18"/>
      <c r="BA121" s="18"/>
    </row>
    <row r="122" spans="39:53" x14ac:dyDescent="0.25">
      <c r="AM122" s="18"/>
      <c r="AN122" s="18"/>
      <c r="AO122" s="18"/>
      <c r="AP122" s="18"/>
      <c r="AQ122" s="18"/>
      <c r="AR122" s="18"/>
      <c r="AS122" s="18"/>
      <c r="AT122" s="18"/>
      <c r="AU122" s="18"/>
      <c r="AV122" s="18"/>
      <c r="AW122" s="18"/>
      <c r="AX122" s="18"/>
      <c r="AY122" s="18"/>
      <c r="AZ122" s="18"/>
      <c r="BA122" s="18"/>
    </row>
    <row r="123" spans="39:53" x14ac:dyDescent="0.25">
      <c r="AM123" s="18"/>
      <c r="AN123" s="18"/>
      <c r="AO123" s="18"/>
      <c r="AP123" s="18"/>
      <c r="AQ123" s="18"/>
      <c r="AR123" s="18"/>
      <c r="AS123" s="18"/>
      <c r="AT123" s="18"/>
      <c r="AU123" s="18"/>
      <c r="AV123" s="18"/>
      <c r="AW123" s="18"/>
      <c r="AX123" s="18"/>
      <c r="AY123" s="18"/>
      <c r="AZ123" s="18"/>
      <c r="BA123" s="18"/>
    </row>
    <row r="124" spans="39:53" x14ac:dyDescent="0.25">
      <c r="AM124" s="18"/>
      <c r="AN124" s="18"/>
      <c r="AO124" s="18"/>
      <c r="AP124" s="18"/>
      <c r="AQ124" s="18"/>
      <c r="AR124" s="18"/>
      <c r="AS124" s="18"/>
      <c r="AT124" s="18"/>
      <c r="AU124" s="18"/>
      <c r="AV124" s="18"/>
      <c r="AW124" s="18"/>
      <c r="AX124" s="18"/>
      <c r="AY124" s="18"/>
      <c r="AZ124" s="18"/>
      <c r="BA124" s="18"/>
    </row>
    <row r="125" spans="39:53" x14ac:dyDescent="0.25">
      <c r="AM125" s="18"/>
      <c r="AN125" s="18"/>
      <c r="AO125" s="18"/>
      <c r="AP125" s="18"/>
      <c r="AQ125" s="18"/>
      <c r="AR125" s="18"/>
      <c r="AS125" s="18"/>
      <c r="AT125" s="18"/>
      <c r="AU125" s="18"/>
      <c r="AV125" s="18"/>
      <c r="AW125" s="18"/>
      <c r="AX125" s="18"/>
      <c r="AY125" s="18"/>
      <c r="AZ125" s="18"/>
      <c r="BA125" s="18"/>
    </row>
    <row r="126" spans="39:53" x14ac:dyDescent="0.25">
      <c r="AM126" s="18"/>
      <c r="AN126" s="18"/>
      <c r="AO126" s="18"/>
      <c r="AP126" s="18"/>
      <c r="AQ126" s="18"/>
      <c r="AR126" s="18"/>
      <c r="AS126" s="18"/>
      <c r="AT126" s="18"/>
      <c r="AU126" s="18"/>
      <c r="AV126" s="18"/>
      <c r="AW126" s="18"/>
      <c r="AX126" s="18"/>
      <c r="AY126" s="18"/>
      <c r="AZ126" s="18"/>
      <c r="BA126" s="18"/>
    </row>
    <row r="127" spans="39:53" x14ac:dyDescent="0.25">
      <c r="AM127" s="18"/>
      <c r="AN127" s="18"/>
      <c r="AO127" s="18"/>
      <c r="AP127" s="18"/>
      <c r="AQ127" s="18"/>
      <c r="AR127" s="18"/>
      <c r="AS127" s="18"/>
      <c r="AT127" s="18"/>
      <c r="AU127" s="18"/>
      <c r="AV127" s="18"/>
      <c r="AW127" s="18"/>
      <c r="AX127" s="18"/>
      <c r="AY127" s="18"/>
      <c r="AZ127" s="18"/>
      <c r="BA127" s="18"/>
    </row>
    <row r="128" spans="39:53" x14ac:dyDescent="0.25">
      <c r="AM128" s="18"/>
      <c r="AN128" s="18"/>
      <c r="AO128" s="18"/>
      <c r="AP128" s="18"/>
      <c r="AQ128" s="18"/>
      <c r="AR128" s="18"/>
      <c r="AS128" s="18"/>
      <c r="AT128" s="18"/>
      <c r="AU128" s="18"/>
      <c r="AV128" s="18"/>
      <c r="AW128" s="18"/>
      <c r="AX128" s="18"/>
      <c r="AY128" s="18"/>
      <c r="AZ128" s="18"/>
      <c r="BA128" s="18"/>
    </row>
    <row r="129" spans="39:53" x14ac:dyDescent="0.25">
      <c r="AM129" s="18"/>
      <c r="AN129" s="18"/>
      <c r="AO129" s="18"/>
      <c r="AP129" s="18"/>
      <c r="AQ129" s="18"/>
      <c r="AR129" s="18"/>
      <c r="AS129" s="18"/>
      <c r="AT129" s="18"/>
      <c r="AU129" s="18"/>
      <c r="AV129" s="18"/>
      <c r="AW129" s="18"/>
      <c r="AX129" s="18"/>
      <c r="AY129" s="18"/>
      <c r="AZ129" s="18"/>
      <c r="BA129" s="18"/>
    </row>
    <row r="130" spans="39:53" x14ac:dyDescent="0.25">
      <c r="AM130" s="18"/>
      <c r="AN130" s="18"/>
      <c r="AO130" s="18"/>
      <c r="AP130" s="18"/>
      <c r="AQ130" s="18"/>
      <c r="AR130" s="18"/>
      <c r="AS130" s="18"/>
      <c r="AT130" s="18"/>
      <c r="AU130" s="18"/>
      <c r="AV130" s="18"/>
      <c r="AW130" s="18"/>
      <c r="AX130" s="18"/>
      <c r="AY130" s="18"/>
      <c r="AZ130" s="18"/>
      <c r="BA130" s="18"/>
    </row>
    <row r="131" spans="39:53" x14ac:dyDescent="0.25">
      <c r="AM131" s="18"/>
      <c r="AN131" s="18"/>
      <c r="AO131" s="18"/>
      <c r="AP131" s="18"/>
      <c r="AQ131" s="18"/>
      <c r="AR131" s="18"/>
      <c r="AS131" s="18"/>
      <c r="AT131" s="18"/>
      <c r="AU131" s="18"/>
      <c r="AV131" s="18"/>
      <c r="AW131" s="18"/>
      <c r="AX131" s="18"/>
      <c r="AY131" s="18"/>
      <c r="AZ131" s="18"/>
      <c r="BA131" s="18"/>
    </row>
    <row r="132" spans="39:53" x14ac:dyDescent="0.25">
      <c r="AM132" s="18"/>
      <c r="AN132" s="18"/>
      <c r="AO132" s="18"/>
      <c r="AP132" s="18"/>
      <c r="AQ132" s="18"/>
      <c r="AR132" s="18"/>
      <c r="AS132" s="18"/>
      <c r="AT132" s="18"/>
      <c r="AU132" s="18"/>
      <c r="AV132" s="18"/>
      <c r="AW132" s="18"/>
      <c r="AX132" s="18"/>
      <c r="AY132" s="18"/>
      <c r="AZ132" s="18"/>
      <c r="BA132" s="18"/>
    </row>
    <row r="133" spans="39:53" x14ac:dyDescent="0.25">
      <c r="AM133" s="18"/>
      <c r="AN133" s="18"/>
      <c r="AO133" s="18"/>
      <c r="AP133" s="18"/>
      <c r="AQ133" s="18"/>
      <c r="AR133" s="18"/>
      <c r="AS133" s="18"/>
      <c r="AT133" s="18"/>
      <c r="AU133" s="18"/>
      <c r="AV133" s="18"/>
      <c r="AW133" s="18"/>
      <c r="AX133" s="18"/>
      <c r="AY133" s="18"/>
      <c r="AZ133" s="18"/>
      <c r="BA133" s="18"/>
    </row>
    <row r="134" spans="39:53" x14ac:dyDescent="0.25">
      <c r="AM134" s="18"/>
      <c r="AN134" s="18"/>
      <c r="AO134" s="18"/>
      <c r="AP134" s="18"/>
      <c r="AQ134" s="18"/>
      <c r="AR134" s="18"/>
      <c r="AS134" s="18"/>
      <c r="AT134" s="18"/>
      <c r="AU134" s="18"/>
      <c r="AV134" s="18"/>
      <c r="AW134" s="18"/>
      <c r="AX134" s="18"/>
      <c r="AY134" s="18"/>
      <c r="AZ134" s="18"/>
      <c r="BA134" s="18"/>
    </row>
    <row r="135" spans="39:53" x14ac:dyDescent="0.25">
      <c r="AM135" s="18"/>
      <c r="AN135" s="18"/>
      <c r="AO135" s="18"/>
      <c r="AP135" s="18"/>
      <c r="AQ135" s="18"/>
      <c r="AR135" s="18"/>
      <c r="AS135" s="18"/>
      <c r="AT135" s="18"/>
      <c r="AU135" s="18"/>
      <c r="AV135" s="18"/>
      <c r="AW135" s="18"/>
      <c r="AX135" s="18"/>
      <c r="AY135" s="18"/>
      <c r="AZ135" s="18"/>
      <c r="BA135" s="18"/>
    </row>
    <row r="136" spans="39:53" x14ac:dyDescent="0.25">
      <c r="AM136" s="18"/>
      <c r="AN136" s="18"/>
      <c r="AO136" s="18"/>
      <c r="AP136" s="18"/>
      <c r="AQ136" s="18"/>
      <c r="AR136" s="18"/>
      <c r="AS136" s="18"/>
      <c r="AT136" s="18"/>
      <c r="AU136" s="18"/>
      <c r="AV136" s="18"/>
      <c r="AW136" s="18"/>
      <c r="AX136" s="18"/>
      <c r="AY136" s="18"/>
      <c r="AZ136" s="18"/>
      <c r="BA136" s="18"/>
    </row>
    <row r="137" spans="39:53" x14ac:dyDescent="0.25">
      <c r="AM137" s="18"/>
      <c r="AN137" s="18"/>
      <c r="AO137" s="18"/>
      <c r="AP137" s="18"/>
      <c r="AQ137" s="18"/>
      <c r="AR137" s="18"/>
      <c r="AS137" s="18"/>
      <c r="AT137" s="18"/>
      <c r="AU137" s="18"/>
      <c r="AV137" s="18"/>
      <c r="AW137" s="18"/>
      <c r="AX137" s="18"/>
      <c r="AY137" s="18"/>
      <c r="AZ137" s="18"/>
      <c r="BA137" s="18"/>
    </row>
    <row r="138" spans="39:53" x14ac:dyDescent="0.25">
      <c r="AM138" s="18"/>
      <c r="AN138" s="18"/>
      <c r="AO138" s="18"/>
      <c r="AP138" s="18"/>
      <c r="AQ138" s="18"/>
      <c r="AR138" s="18"/>
      <c r="AS138" s="18"/>
      <c r="AT138" s="18"/>
      <c r="AU138" s="18"/>
      <c r="AV138" s="18"/>
      <c r="AW138" s="18"/>
      <c r="AX138" s="18"/>
      <c r="AY138" s="18"/>
      <c r="AZ138" s="18"/>
      <c r="BA138" s="18"/>
    </row>
    <row r="139" spans="39:53" x14ac:dyDescent="0.25">
      <c r="AM139" s="18"/>
      <c r="AN139" s="18"/>
      <c r="AO139" s="18"/>
      <c r="AP139" s="18"/>
      <c r="AQ139" s="18"/>
      <c r="AR139" s="18"/>
      <c r="AS139" s="18"/>
      <c r="AT139" s="18"/>
      <c r="AU139" s="18"/>
      <c r="AV139" s="18"/>
      <c r="AW139" s="18"/>
      <c r="AX139" s="18"/>
      <c r="AY139" s="18"/>
      <c r="AZ139" s="18"/>
      <c r="BA139" s="18"/>
    </row>
    <row r="140" spans="39:53" x14ac:dyDescent="0.25">
      <c r="AM140" s="18"/>
      <c r="AN140" s="18"/>
      <c r="AO140" s="18"/>
      <c r="AP140" s="18"/>
      <c r="AQ140" s="18"/>
      <c r="AR140" s="18"/>
      <c r="AS140" s="18"/>
      <c r="AT140" s="18"/>
      <c r="AU140" s="18"/>
      <c r="AV140" s="18"/>
      <c r="AW140" s="18"/>
      <c r="AX140" s="18"/>
      <c r="AY140" s="18"/>
      <c r="AZ140" s="18"/>
      <c r="BA140" s="18"/>
    </row>
    <row r="141" spans="39:53" x14ac:dyDescent="0.25">
      <c r="AM141" s="18"/>
      <c r="AN141" s="18"/>
      <c r="AO141" s="18"/>
      <c r="AP141" s="18"/>
      <c r="AQ141" s="18"/>
      <c r="AR141" s="18"/>
      <c r="AS141" s="18"/>
      <c r="AT141" s="18"/>
      <c r="AU141" s="18"/>
      <c r="AV141" s="18"/>
      <c r="AW141" s="18"/>
      <c r="AX141" s="18"/>
      <c r="AY141" s="18"/>
      <c r="AZ141" s="18"/>
      <c r="BA141" s="18"/>
    </row>
    <row r="142" spans="39:53" x14ac:dyDescent="0.25">
      <c r="AM142" s="18"/>
      <c r="AN142" s="18"/>
      <c r="AO142" s="18"/>
      <c r="AP142" s="18"/>
      <c r="AQ142" s="18"/>
      <c r="AR142" s="18"/>
      <c r="AS142" s="18"/>
      <c r="AT142" s="18"/>
      <c r="AU142" s="18"/>
      <c r="AV142" s="18"/>
      <c r="AW142" s="18"/>
      <c r="AX142" s="18"/>
      <c r="AY142" s="18"/>
      <c r="AZ142" s="18"/>
      <c r="BA142" s="18"/>
    </row>
    <row r="143" spans="39:53" x14ac:dyDescent="0.25">
      <c r="AM143" s="18"/>
      <c r="AN143" s="18"/>
      <c r="AO143" s="18"/>
      <c r="AP143" s="18"/>
      <c r="AQ143" s="18"/>
      <c r="AR143" s="18"/>
      <c r="AS143" s="18"/>
      <c r="AT143" s="18"/>
      <c r="AU143" s="18"/>
      <c r="AV143" s="18"/>
      <c r="AW143" s="18"/>
      <c r="AX143" s="18"/>
      <c r="AY143" s="18"/>
      <c r="AZ143" s="18"/>
      <c r="BA143" s="18"/>
    </row>
    <row r="144" spans="39:53" x14ac:dyDescent="0.25">
      <c r="AM144" s="18"/>
      <c r="AN144" s="18"/>
      <c r="AO144" s="18"/>
      <c r="AP144" s="18"/>
      <c r="AQ144" s="18"/>
      <c r="AR144" s="18"/>
      <c r="AS144" s="18"/>
      <c r="AT144" s="18"/>
      <c r="AU144" s="18"/>
      <c r="AV144" s="18"/>
      <c r="AW144" s="18"/>
      <c r="AX144" s="18"/>
      <c r="AY144" s="18"/>
      <c r="AZ144" s="18"/>
      <c r="BA144" s="18"/>
    </row>
    <row r="145" spans="39:53" x14ac:dyDescent="0.25">
      <c r="AM145" s="18"/>
      <c r="AN145" s="18"/>
      <c r="AO145" s="18"/>
      <c r="AP145" s="18"/>
      <c r="AQ145" s="18"/>
      <c r="AR145" s="18"/>
      <c r="AS145" s="18"/>
      <c r="AT145" s="18"/>
      <c r="AU145" s="18"/>
      <c r="AV145" s="18"/>
      <c r="AW145" s="18"/>
      <c r="AX145" s="18"/>
      <c r="AY145" s="18"/>
      <c r="AZ145" s="18"/>
      <c r="BA145" s="18"/>
    </row>
    <row r="146" spans="39:53" x14ac:dyDescent="0.25">
      <c r="AM146" s="18"/>
      <c r="AN146" s="18"/>
      <c r="AO146" s="18"/>
      <c r="AP146" s="18"/>
      <c r="AQ146" s="18"/>
      <c r="AR146" s="18"/>
      <c r="AS146" s="18"/>
      <c r="AT146" s="18"/>
      <c r="AU146" s="18"/>
      <c r="AV146" s="18"/>
      <c r="AW146" s="18"/>
      <c r="AX146" s="18"/>
      <c r="AY146" s="18"/>
      <c r="AZ146" s="18"/>
      <c r="BA146" s="18"/>
    </row>
    <row r="147" spans="39:53" x14ac:dyDescent="0.25">
      <c r="AM147" s="18"/>
      <c r="AN147" s="18"/>
      <c r="AO147" s="18"/>
      <c r="AP147" s="18"/>
      <c r="AQ147" s="18"/>
      <c r="AR147" s="18"/>
      <c r="AS147" s="18"/>
      <c r="AT147" s="18"/>
      <c r="AU147" s="18"/>
      <c r="AV147" s="18"/>
      <c r="AW147" s="18"/>
      <c r="AX147" s="18"/>
      <c r="AY147" s="18"/>
      <c r="AZ147" s="18"/>
      <c r="BA147" s="18"/>
    </row>
    <row r="148" spans="39:53" x14ac:dyDescent="0.25">
      <c r="AM148" s="18"/>
      <c r="AN148" s="18"/>
      <c r="AO148" s="18"/>
      <c r="AP148" s="18"/>
      <c r="AQ148" s="18"/>
      <c r="AR148" s="18"/>
      <c r="AS148" s="18"/>
      <c r="AT148" s="18"/>
      <c r="AU148" s="18"/>
      <c r="AV148" s="18"/>
      <c r="AW148" s="18"/>
      <c r="AX148" s="18"/>
      <c r="AY148" s="18"/>
      <c r="AZ148" s="18"/>
      <c r="BA148" s="18"/>
    </row>
    <row r="149" spans="39:53" x14ac:dyDescent="0.25">
      <c r="AM149" s="18"/>
      <c r="AN149" s="18"/>
      <c r="AO149" s="18"/>
      <c r="AP149" s="18"/>
      <c r="AQ149" s="18"/>
      <c r="AR149" s="18"/>
      <c r="AS149" s="18"/>
      <c r="AT149" s="18"/>
      <c r="AU149" s="18"/>
      <c r="AV149" s="18"/>
      <c r="AW149" s="18"/>
      <c r="AX149" s="18"/>
      <c r="AY149" s="18"/>
      <c r="AZ149" s="18"/>
      <c r="BA149" s="18"/>
    </row>
    <row r="150" spans="39:53" x14ac:dyDescent="0.25">
      <c r="AM150" s="18"/>
      <c r="AN150" s="18"/>
      <c r="AO150" s="18"/>
      <c r="AP150" s="18"/>
      <c r="AQ150" s="18"/>
      <c r="AR150" s="18"/>
      <c r="AS150" s="18"/>
      <c r="AT150" s="18"/>
      <c r="AU150" s="18"/>
      <c r="AV150" s="18"/>
      <c r="AW150" s="18"/>
      <c r="AX150" s="18"/>
      <c r="AY150" s="18"/>
      <c r="AZ150" s="18"/>
      <c r="BA150" s="18"/>
    </row>
    <row r="151" spans="39:53" x14ac:dyDescent="0.25">
      <c r="AM151" s="18"/>
      <c r="AN151" s="18"/>
      <c r="AO151" s="18"/>
      <c r="AP151" s="18"/>
      <c r="AQ151" s="18"/>
      <c r="AR151" s="18"/>
      <c r="AS151" s="18"/>
      <c r="AT151" s="18"/>
      <c r="AU151" s="18"/>
      <c r="AV151" s="18"/>
      <c r="AW151" s="18"/>
      <c r="AX151" s="18"/>
      <c r="AY151" s="18"/>
      <c r="AZ151" s="18"/>
      <c r="BA151" s="18"/>
    </row>
    <row r="152" spans="39:53" x14ac:dyDescent="0.25">
      <c r="AM152" s="18"/>
      <c r="AN152" s="18"/>
      <c r="AO152" s="18"/>
      <c r="AP152" s="18"/>
      <c r="AQ152" s="18"/>
      <c r="AR152" s="18"/>
      <c r="AS152" s="18"/>
      <c r="AT152" s="18"/>
      <c r="AU152" s="18"/>
      <c r="AV152" s="18"/>
      <c r="AW152" s="18"/>
      <c r="AX152" s="18"/>
      <c r="AY152" s="18"/>
      <c r="AZ152" s="18"/>
      <c r="BA152" s="18"/>
    </row>
  </sheetData>
  <mergeCells count="2">
    <mergeCell ref="BP1:BX1"/>
    <mergeCell ref="BZ1:CD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87"/>
  <sheetViews>
    <sheetView topLeftCell="B15" workbookViewId="0">
      <selection activeCell="K33" sqref="K33"/>
    </sheetView>
  </sheetViews>
  <sheetFormatPr defaultColWidth="8.85546875" defaultRowHeight="15" x14ac:dyDescent="0.25"/>
  <cols>
    <col min="6" max="6" width="24.85546875" bestFit="1" customWidth="1"/>
    <col min="9" max="10" width="8.85546875" bestFit="1" customWidth="1"/>
    <col min="11" max="11" width="13.28515625" customWidth="1"/>
    <col min="12" max="12" width="8.85546875" bestFit="1" customWidth="1"/>
    <col min="13" max="13" width="14.140625" customWidth="1"/>
    <col min="14" max="14" width="9.28515625" bestFit="1" customWidth="1"/>
    <col min="15" max="16" width="8.85546875" bestFit="1" customWidth="1"/>
    <col min="20" max="20" width="30.85546875" bestFit="1" customWidth="1"/>
    <col min="21" max="21" width="22" bestFit="1" customWidth="1"/>
    <col min="31" max="31" width="13.140625" bestFit="1" customWidth="1"/>
    <col min="43" max="43" width="18" bestFit="1" customWidth="1"/>
    <col min="45" max="45" width="15.85546875" bestFit="1" customWidth="1"/>
  </cols>
  <sheetData>
    <row r="1" spans="1:82" x14ac:dyDescent="0.25">
      <c r="F1" s="280" t="s">
        <v>87</v>
      </c>
      <c r="G1" s="280"/>
      <c r="H1" s="82"/>
      <c r="I1" s="281" t="s">
        <v>82</v>
      </c>
      <c r="J1" s="281"/>
      <c r="K1" s="281"/>
      <c r="L1" s="281"/>
      <c r="M1" s="281"/>
      <c r="N1" s="281"/>
      <c r="O1" s="281"/>
      <c r="P1" s="281"/>
      <c r="Q1" s="281"/>
      <c r="R1" s="281"/>
      <c r="S1" s="282" t="s">
        <v>88</v>
      </c>
      <c r="T1" s="282"/>
      <c r="U1" s="282"/>
      <c r="V1" s="282"/>
      <c r="W1" s="283" t="s">
        <v>116</v>
      </c>
      <c r="X1" s="283"/>
      <c r="Y1" s="283"/>
      <c r="Z1" s="284" t="s">
        <v>131</v>
      </c>
      <c r="AA1" s="284"/>
      <c r="AB1" s="284"/>
      <c r="AC1" s="284"/>
      <c r="AD1" s="284"/>
      <c r="AE1" s="284"/>
      <c r="AF1" s="284"/>
      <c r="AG1" s="284"/>
      <c r="AH1" s="284"/>
      <c r="AI1" s="284"/>
      <c r="AJ1" s="284"/>
      <c r="AK1" s="284"/>
      <c r="AL1" s="284"/>
      <c r="AM1" s="284"/>
      <c r="AN1" s="15" t="s">
        <v>136</v>
      </c>
      <c r="AO1" s="285" t="s">
        <v>147</v>
      </c>
      <c r="AP1" s="285"/>
      <c r="AQ1" s="285"/>
      <c r="AR1" s="285"/>
      <c r="AS1" s="285"/>
      <c r="AT1" s="285"/>
      <c r="AU1" s="285"/>
      <c r="AV1" s="285"/>
      <c r="AW1" s="285"/>
      <c r="AX1" s="285"/>
      <c r="AY1" s="285"/>
      <c r="AZ1" s="285"/>
      <c r="BA1" s="282" t="s">
        <v>149</v>
      </c>
      <c r="BB1" s="282"/>
      <c r="BC1" s="283" t="s">
        <v>157</v>
      </c>
      <c r="BD1" s="283"/>
      <c r="BE1" s="283"/>
      <c r="BF1" s="283"/>
      <c r="BG1" s="283"/>
      <c r="BH1" s="283"/>
      <c r="BI1" s="283"/>
      <c r="BJ1" s="283"/>
      <c r="BK1" s="27" t="s">
        <v>162</v>
      </c>
      <c r="BL1" s="27"/>
      <c r="BM1" s="10" t="s">
        <v>164</v>
      </c>
      <c r="BN1" s="13" t="s">
        <v>166</v>
      </c>
      <c r="BO1" s="278" t="s">
        <v>173</v>
      </c>
      <c r="BP1" s="278"/>
      <c r="BQ1" s="278"/>
      <c r="BR1" s="278"/>
      <c r="BS1" s="278"/>
      <c r="BT1" s="278"/>
      <c r="BU1" s="278"/>
      <c r="BV1" s="278"/>
      <c r="BW1" s="278"/>
      <c r="BX1" s="29" t="s">
        <v>176</v>
      </c>
      <c r="BY1" s="277" t="s">
        <v>198</v>
      </c>
      <c r="BZ1" s="277"/>
      <c r="CA1" s="277"/>
      <c r="CB1" s="277"/>
      <c r="CC1" s="277"/>
    </row>
    <row r="2" spans="1:82" x14ac:dyDescent="0.25">
      <c r="A2" s="14" t="s">
        <v>12</v>
      </c>
      <c r="B2" s="14" t="s">
        <v>62</v>
      </c>
      <c r="C2" s="16" t="s">
        <v>85</v>
      </c>
      <c r="D2" s="16" t="s">
        <v>209</v>
      </c>
      <c r="E2" s="13" t="s">
        <v>84</v>
      </c>
      <c r="F2" t="s">
        <v>83</v>
      </c>
      <c r="G2" t="s">
        <v>86</v>
      </c>
      <c r="I2" t="s">
        <v>67</v>
      </c>
      <c r="J2" t="s">
        <v>68</v>
      </c>
      <c r="K2" t="s">
        <v>69</v>
      </c>
      <c r="L2" t="s">
        <v>70</v>
      </c>
      <c r="M2" t="s">
        <v>71</v>
      </c>
      <c r="N2" t="s">
        <v>72</v>
      </c>
      <c r="O2" t="s">
        <v>73</v>
      </c>
      <c r="P2" t="s">
        <v>74</v>
      </c>
      <c r="Q2" t="s">
        <v>81</v>
      </c>
      <c r="R2" t="s">
        <v>75</v>
      </c>
      <c r="S2" t="s">
        <v>78</v>
      </c>
      <c r="T2" t="s">
        <v>79</v>
      </c>
      <c r="U2" t="s">
        <v>80</v>
      </c>
      <c r="V2" t="s">
        <v>62</v>
      </c>
      <c r="W2" t="s">
        <v>114</v>
      </c>
      <c r="X2" t="s">
        <v>115</v>
      </c>
      <c r="Y2" t="s">
        <v>117</v>
      </c>
      <c r="Z2" t="s">
        <v>119</v>
      </c>
      <c r="AA2" t="s">
        <v>120</v>
      </c>
      <c r="AB2" t="s">
        <v>121</v>
      </c>
      <c r="AC2" t="s">
        <v>122</v>
      </c>
      <c r="AD2" t="s">
        <v>123</v>
      </c>
      <c r="AE2" t="s">
        <v>124</v>
      </c>
      <c r="AF2" t="s">
        <v>125</v>
      </c>
      <c r="AG2" t="s">
        <v>126</v>
      </c>
      <c r="AH2" t="s">
        <v>127</v>
      </c>
      <c r="AI2" t="s">
        <v>128</v>
      </c>
      <c r="AJ2" t="s">
        <v>129</v>
      </c>
      <c r="AK2" t="s">
        <v>130</v>
      </c>
      <c r="AL2" t="s">
        <v>132</v>
      </c>
      <c r="AM2" t="s">
        <v>133</v>
      </c>
      <c r="AN2" s="18" t="s">
        <v>135</v>
      </c>
      <c r="AO2" s="20" t="s">
        <v>119</v>
      </c>
      <c r="AP2" s="20" t="s">
        <v>120</v>
      </c>
      <c r="AQ2" s="20" t="s">
        <v>139</v>
      </c>
      <c r="AR2" s="20" t="s">
        <v>140</v>
      </c>
      <c r="AS2" s="20" t="s">
        <v>124</v>
      </c>
      <c r="AT2" s="20" t="s">
        <v>141</v>
      </c>
      <c r="AU2" s="20" t="s">
        <v>142</v>
      </c>
      <c r="AV2" s="20" t="s">
        <v>143</v>
      </c>
      <c r="AW2" s="20" t="s">
        <v>144</v>
      </c>
      <c r="AX2" s="20" t="s">
        <v>145</v>
      </c>
      <c r="AY2" s="21" t="s">
        <v>146</v>
      </c>
      <c r="AZ2" s="18" t="s">
        <v>138</v>
      </c>
      <c r="BA2" t="s">
        <v>148</v>
      </c>
      <c r="BB2" t="s">
        <v>146</v>
      </c>
      <c r="BC2" s="22" t="s">
        <v>150</v>
      </c>
      <c r="BD2" s="22" t="s">
        <v>151</v>
      </c>
      <c r="BE2" s="22" t="s">
        <v>152</v>
      </c>
      <c r="BF2" s="22" t="s">
        <v>153</v>
      </c>
      <c r="BG2" s="22" t="s">
        <v>154</v>
      </c>
      <c r="BH2" s="22" t="s">
        <v>155</v>
      </c>
      <c r="BI2" s="22" t="s">
        <v>156</v>
      </c>
      <c r="BJ2" s="22" t="s">
        <v>146</v>
      </c>
      <c r="BK2" t="s">
        <v>161</v>
      </c>
      <c r="BM2" s="28" t="s">
        <v>164</v>
      </c>
      <c r="BN2" s="28" t="s">
        <v>165</v>
      </c>
      <c r="BO2" t="s">
        <v>167</v>
      </c>
      <c r="BP2" t="s">
        <v>168</v>
      </c>
      <c r="BQ2" t="s">
        <v>169</v>
      </c>
      <c r="BR2" t="s">
        <v>170</v>
      </c>
      <c r="BS2" t="s">
        <v>171</v>
      </c>
      <c r="BT2" t="s">
        <v>172</v>
      </c>
      <c r="BV2" t="s">
        <v>195</v>
      </c>
      <c r="BW2" t="s">
        <v>163</v>
      </c>
      <c r="BX2" t="s">
        <v>175</v>
      </c>
      <c r="BY2" t="s">
        <v>177</v>
      </c>
      <c r="BZ2" t="s">
        <v>163</v>
      </c>
      <c r="CA2" t="s">
        <v>179</v>
      </c>
      <c r="CB2" t="s">
        <v>146</v>
      </c>
      <c r="CC2" t="s">
        <v>178</v>
      </c>
      <c r="CD2" t="s">
        <v>146</v>
      </c>
    </row>
    <row r="3" spans="1:82" x14ac:dyDescent="0.25">
      <c r="A3">
        <v>680</v>
      </c>
      <c r="B3" t="s">
        <v>58</v>
      </c>
      <c r="C3" t="s">
        <v>14</v>
      </c>
      <c r="D3" t="s">
        <v>211</v>
      </c>
      <c r="E3">
        <v>7000</v>
      </c>
      <c r="F3">
        <v>6721</v>
      </c>
      <c r="G3" t="s">
        <v>65</v>
      </c>
      <c r="H3">
        <f>F3-SUM(M3:P3)</f>
        <v>0</v>
      </c>
      <c r="I3">
        <v>100</v>
      </c>
      <c r="J3">
        <v>0</v>
      </c>
      <c r="K3">
        <v>0</v>
      </c>
      <c r="L3">
        <v>0</v>
      </c>
      <c r="M3">
        <v>6721</v>
      </c>
      <c r="N3">
        <v>0</v>
      </c>
      <c r="O3">
        <v>0</v>
      </c>
      <c r="P3">
        <v>0</v>
      </c>
      <c r="Q3" t="s">
        <v>76</v>
      </c>
      <c r="S3">
        <v>50</v>
      </c>
      <c r="V3" t="s">
        <v>76</v>
      </c>
      <c r="W3" t="s">
        <v>89</v>
      </c>
      <c r="X3" t="s">
        <v>89</v>
      </c>
      <c r="Y3">
        <v>6721</v>
      </c>
      <c r="Z3">
        <v>0</v>
      </c>
      <c r="AA3">
        <v>10</v>
      </c>
      <c r="AB3">
        <v>80</v>
      </c>
      <c r="AC3">
        <v>10</v>
      </c>
      <c r="AD3">
        <v>0</v>
      </c>
      <c r="AE3">
        <v>0</v>
      </c>
      <c r="AF3">
        <v>0</v>
      </c>
      <c r="AG3">
        <v>672.1</v>
      </c>
      <c r="AH3">
        <v>5376.8</v>
      </c>
      <c r="AI3">
        <v>672.1</v>
      </c>
      <c r="AJ3">
        <v>0</v>
      </c>
      <c r="AK3">
        <v>0</v>
      </c>
      <c r="AL3" t="s">
        <v>76</v>
      </c>
      <c r="AM3" t="s">
        <v>64</v>
      </c>
      <c r="AN3" t="s">
        <v>134</v>
      </c>
      <c r="AO3" s="11"/>
      <c r="AP3" s="11"/>
      <c r="AQ3" s="11"/>
      <c r="AR3" s="11"/>
      <c r="AS3" s="11"/>
      <c r="AT3" s="11"/>
      <c r="AU3" s="11"/>
      <c r="AV3" s="11"/>
      <c r="AW3" s="11"/>
      <c r="AX3" s="11"/>
      <c r="AY3" s="11" t="s">
        <v>77</v>
      </c>
      <c r="AZ3">
        <f>SUM(AT3:AX3)</f>
        <v>0</v>
      </c>
      <c r="BB3" t="s">
        <v>77</v>
      </c>
      <c r="BC3" s="22"/>
      <c r="BD3" s="22"/>
      <c r="BE3" s="22"/>
      <c r="BF3" s="22"/>
      <c r="BG3" s="22"/>
      <c r="BH3" s="22"/>
      <c r="BI3" s="22"/>
      <c r="BJ3" s="22" t="s">
        <v>77</v>
      </c>
      <c r="BK3" t="s">
        <v>77</v>
      </c>
      <c r="BM3" s="22" t="s">
        <v>77</v>
      </c>
      <c r="BN3" s="22"/>
      <c r="BW3" t="s">
        <v>77</v>
      </c>
      <c r="BX3" t="s">
        <v>90</v>
      </c>
      <c r="BZ3" t="s">
        <v>76</v>
      </c>
      <c r="CB3" t="s">
        <v>77</v>
      </c>
      <c r="CD3" t="s">
        <v>77</v>
      </c>
    </row>
    <row r="4" spans="1:82" x14ac:dyDescent="0.25">
      <c r="A4">
        <v>1025</v>
      </c>
      <c r="B4" t="s">
        <v>58</v>
      </c>
      <c r="C4" t="s">
        <v>22</v>
      </c>
      <c r="D4" t="s">
        <v>211</v>
      </c>
      <c r="E4">
        <v>2000000</v>
      </c>
      <c r="F4">
        <v>505000</v>
      </c>
      <c r="G4" t="s">
        <v>65</v>
      </c>
      <c r="H4">
        <f t="shared" ref="H4:H34" si="0">F4-SUM(M4:P4)</f>
        <v>0</v>
      </c>
      <c r="I4">
        <v>2.9702970297029703</v>
      </c>
      <c r="J4">
        <v>97.029702970297024</v>
      </c>
      <c r="K4">
        <v>0</v>
      </c>
      <c r="L4">
        <v>0</v>
      </c>
      <c r="M4">
        <v>15000</v>
      </c>
      <c r="N4">
        <v>490000</v>
      </c>
      <c r="O4">
        <v>0</v>
      </c>
      <c r="P4">
        <v>0</v>
      </c>
      <c r="Q4" t="s">
        <v>76</v>
      </c>
      <c r="S4">
        <v>48</v>
      </c>
      <c r="V4" t="s">
        <v>76</v>
      </c>
      <c r="W4" t="s">
        <v>89</v>
      </c>
      <c r="X4" t="s">
        <v>89</v>
      </c>
      <c r="Y4">
        <v>15000</v>
      </c>
      <c r="Z4">
        <v>0</v>
      </c>
      <c r="AA4">
        <v>0</v>
      </c>
      <c r="AB4">
        <v>100</v>
      </c>
      <c r="AC4">
        <v>0</v>
      </c>
      <c r="AD4">
        <v>0</v>
      </c>
      <c r="AE4">
        <v>0</v>
      </c>
      <c r="AF4">
        <v>0</v>
      </c>
      <c r="AG4">
        <v>0</v>
      </c>
      <c r="AH4">
        <v>15000</v>
      </c>
      <c r="AI4">
        <v>0</v>
      </c>
      <c r="AJ4">
        <v>0</v>
      </c>
      <c r="AK4">
        <v>0</v>
      </c>
      <c r="AL4" s="18" t="s">
        <v>76</v>
      </c>
      <c r="AN4" t="s">
        <v>63</v>
      </c>
      <c r="AO4" s="11"/>
      <c r="AP4" s="11"/>
      <c r="AQ4" s="11"/>
      <c r="AR4" s="11"/>
      <c r="AS4" s="11"/>
      <c r="AT4" s="11"/>
      <c r="AU4" s="11"/>
      <c r="AV4" s="11"/>
      <c r="AW4" s="11"/>
      <c r="AX4" s="11"/>
      <c r="AY4" s="11" t="s">
        <v>77</v>
      </c>
      <c r="AZ4">
        <f t="shared" ref="AZ4:AZ34" si="1">SUM(AT4:AX4)</f>
        <v>0</v>
      </c>
      <c r="BB4" t="s">
        <v>77</v>
      </c>
      <c r="BC4" s="22"/>
      <c r="BD4" s="22"/>
      <c r="BE4" s="22"/>
      <c r="BF4" s="22"/>
      <c r="BG4" s="22"/>
      <c r="BH4" s="22"/>
      <c r="BI4" s="22"/>
      <c r="BJ4" s="22" t="s">
        <v>77</v>
      </c>
      <c r="BK4" t="s">
        <v>77</v>
      </c>
      <c r="BM4" s="22" t="s">
        <v>77</v>
      </c>
      <c r="BN4" s="22"/>
      <c r="BW4" t="s">
        <v>77</v>
      </c>
      <c r="BX4" t="s">
        <v>90</v>
      </c>
      <c r="BZ4" t="s">
        <v>76</v>
      </c>
      <c r="CB4" t="s">
        <v>77</v>
      </c>
      <c r="CD4" t="s">
        <v>77</v>
      </c>
    </row>
    <row r="5" spans="1:82" x14ac:dyDescent="0.25">
      <c r="A5">
        <v>1035</v>
      </c>
      <c r="B5" t="s">
        <v>59</v>
      </c>
      <c r="C5" t="s">
        <v>22</v>
      </c>
      <c r="D5" t="s">
        <v>211</v>
      </c>
      <c r="E5">
        <v>50000</v>
      </c>
      <c r="F5">
        <v>150000</v>
      </c>
      <c r="G5" t="s">
        <v>65</v>
      </c>
      <c r="H5">
        <f t="shared" si="0"/>
        <v>0</v>
      </c>
      <c r="I5">
        <v>5</v>
      </c>
      <c r="J5">
        <v>95</v>
      </c>
      <c r="K5">
        <v>0</v>
      </c>
      <c r="L5">
        <v>0</v>
      </c>
      <c r="M5">
        <v>7500</v>
      </c>
      <c r="N5">
        <v>142500</v>
      </c>
      <c r="O5">
        <v>0</v>
      </c>
      <c r="P5">
        <v>0</v>
      </c>
      <c r="Q5" t="s">
        <v>76</v>
      </c>
      <c r="S5">
        <v>30</v>
      </c>
      <c r="V5" t="s">
        <v>76</v>
      </c>
      <c r="W5" t="s">
        <v>64</v>
      </c>
      <c r="X5" t="s">
        <v>64</v>
      </c>
      <c r="Y5">
        <v>7500</v>
      </c>
      <c r="Z5">
        <v>5</v>
      </c>
      <c r="AA5">
        <v>10</v>
      </c>
      <c r="AB5">
        <v>70</v>
      </c>
      <c r="AC5">
        <v>5</v>
      </c>
      <c r="AD5">
        <v>0</v>
      </c>
      <c r="AE5">
        <v>10</v>
      </c>
      <c r="AF5">
        <v>375</v>
      </c>
      <c r="AG5">
        <v>750</v>
      </c>
      <c r="AH5">
        <v>5250</v>
      </c>
      <c r="AI5">
        <v>375</v>
      </c>
      <c r="AJ5">
        <v>0</v>
      </c>
      <c r="AK5">
        <v>750</v>
      </c>
      <c r="AL5" s="18" t="s">
        <v>76</v>
      </c>
      <c r="AN5" t="s">
        <v>63</v>
      </c>
      <c r="AO5" s="11"/>
      <c r="AP5" s="11"/>
      <c r="AQ5" s="11"/>
      <c r="AR5" s="11"/>
      <c r="AS5" s="11"/>
      <c r="AT5" s="11"/>
      <c r="AU5" s="11"/>
      <c r="AV5" s="11"/>
      <c r="AW5" s="11"/>
      <c r="AX5" s="11"/>
      <c r="AY5" s="11" t="s">
        <v>77</v>
      </c>
      <c r="AZ5">
        <f t="shared" si="1"/>
        <v>0</v>
      </c>
      <c r="BB5" t="s">
        <v>77</v>
      </c>
      <c r="BC5" s="22"/>
      <c r="BD5" s="22"/>
      <c r="BE5" s="22"/>
      <c r="BF5" s="22"/>
      <c r="BG5" s="22"/>
      <c r="BH5" s="22"/>
      <c r="BI5" s="22"/>
      <c r="BJ5" s="22" t="s">
        <v>77</v>
      </c>
      <c r="BK5" t="s">
        <v>77</v>
      </c>
      <c r="BM5" s="22" t="s">
        <v>77</v>
      </c>
      <c r="BN5" s="22"/>
      <c r="BW5" t="s">
        <v>77</v>
      </c>
      <c r="BX5" t="s">
        <v>77</v>
      </c>
      <c r="BZ5" t="s">
        <v>201</v>
      </c>
      <c r="CB5" t="s">
        <v>77</v>
      </c>
      <c r="CD5" t="s">
        <v>77</v>
      </c>
    </row>
    <row r="6" spans="1:82" x14ac:dyDescent="0.25">
      <c r="A6">
        <v>1053</v>
      </c>
      <c r="B6" t="s">
        <v>58</v>
      </c>
      <c r="C6" t="s">
        <v>23</v>
      </c>
      <c r="D6" t="s">
        <v>211</v>
      </c>
      <c r="E6">
        <v>80000</v>
      </c>
      <c r="F6">
        <v>78405</v>
      </c>
      <c r="G6" t="s">
        <v>65</v>
      </c>
      <c r="H6">
        <f t="shared" si="0"/>
        <v>0</v>
      </c>
      <c r="I6">
        <v>0</v>
      </c>
      <c r="J6">
        <v>93.537401951406167</v>
      </c>
      <c r="K6">
        <v>6.4625980485938399</v>
      </c>
      <c r="L6">
        <v>0</v>
      </c>
      <c r="M6">
        <v>0</v>
      </c>
      <c r="N6">
        <v>73338.000000000015</v>
      </c>
      <c r="O6">
        <v>5067</v>
      </c>
      <c r="P6">
        <v>0</v>
      </c>
      <c r="Q6" t="s">
        <v>76</v>
      </c>
      <c r="S6">
        <v>27.5</v>
      </c>
      <c r="V6" t="s">
        <v>76</v>
      </c>
      <c r="W6" t="s">
        <v>89</v>
      </c>
      <c r="X6" t="s">
        <v>90</v>
      </c>
      <c r="Y6">
        <v>0</v>
      </c>
      <c r="Z6" s="11"/>
      <c r="AA6" s="11"/>
      <c r="AB6" s="11"/>
      <c r="AC6" s="11"/>
      <c r="AD6" s="11"/>
      <c r="AE6" s="11"/>
      <c r="AF6" s="11"/>
      <c r="AG6" s="11"/>
      <c r="AH6" s="11"/>
      <c r="AI6" s="11"/>
      <c r="AJ6" s="11"/>
      <c r="AK6" s="11"/>
      <c r="AL6" s="11" t="s">
        <v>77</v>
      </c>
      <c r="AN6" t="s">
        <v>64</v>
      </c>
      <c r="AO6">
        <v>1.2446518864255154</v>
      </c>
      <c r="AP6">
        <v>0</v>
      </c>
      <c r="AQ6">
        <v>0</v>
      </c>
      <c r="AR6">
        <v>98.755348113574485</v>
      </c>
      <c r="AS6">
        <v>0</v>
      </c>
      <c r="AT6">
        <v>63.066511085180863</v>
      </c>
      <c r="AU6">
        <v>0</v>
      </c>
      <c r="AV6">
        <v>0</v>
      </c>
      <c r="AW6">
        <v>5003.9334889148195</v>
      </c>
      <c r="AX6">
        <v>0</v>
      </c>
      <c r="AY6" t="s">
        <v>76</v>
      </c>
      <c r="AZ6">
        <f t="shared" si="1"/>
        <v>5067</v>
      </c>
      <c r="BA6">
        <v>0</v>
      </c>
      <c r="BB6" t="s">
        <v>118</v>
      </c>
      <c r="BC6" s="22"/>
      <c r="BD6" s="22"/>
      <c r="BE6" s="22"/>
      <c r="BF6" s="22"/>
      <c r="BG6" s="22"/>
      <c r="BH6" s="22"/>
      <c r="BI6" s="22"/>
      <c r="BJ6" s="22" t="s">
        <v>77</v>
      </c>
      <c r="BK6" t="s">
        <v>63</v>
      </c>
      <c r="BM6" s="22" t="s">
        <v>77</v>
      </c>
      <c r="BN6" s="22"/>
      <c r="BW6" t="s">
        <v>77</v>
      </c>
      <c r="BX6" t="s">
        <v>90</v>
      </c>
      <c r="BZ6" t="s">
        <v>76</v>
      </c>
      <c r="CB6" t="s">
        <v>77</v>
      </c>
      <c r="CD6" t="s">
        <v>77</v>
      </c>
    </row>
    <row r="7" spans="1:82" x14ac:dyDescent="0.25">
      <c r="A7">
        <v>1063</v>
      </c>
      <c r="B7" t="s">
        <v>58</v>
      </c>
      <c r="C7" t="s">
        <v>23</v>
      </c>
      <c r="D7" t="s">
        <v>211</v>
      </c>
      <c r="E7">
        <v>1000000</v>
      </c>
      <c r="F7">
        <v>1100000</v>
      </c>
      <c r="G7" t="s">
        <v>65</v>
      </c>
      <c r="H7">
        <f t="shared" si="0"/>
        <v>0</v>
      </c>
      <c r="I7">
        <v>0</v>
      </c>
      <c r="J7">
        <v>99</v>
      </c>
      <c r="K7">
        <v>1</v>
      </c>
      <c r="L7">
        <v>0</v>
      </c>
      <c r="M7">
        <v>0</v>
      </c>
      <c r="N7">
        <v>1089000</v>
      </c>
      <c r="O7">
        <v>11000</v>
      </c>
      <c r="P7">
        <v>0</v>
      </c>
      <c r="Q7" t="s">
        <v>76</v>
      </c>
      <c r="S7">
        <v>35</v>
      </c>
      <c r="T7">
        <v>35</v>
      </c>
      <c r="V7" t="s">
        <v>76</v>
      </c>
      <c r="W7" t="s">
        <v>89</v>
      </c>
      <c r="X7" t="s">
        <v>89</v>
      </c>
      <c r="Y7">
        <v>0</v>
      </c>
      <c r="Z7" s="12"/>
      <c r="AA7" s="12"/>
      <c r="AB7" s="12"/>
      <c r="AC7" s="12"/>
      <c r="AD7" s="12"/>
      <c r="AE7" s="12"/>
      <c r="AF7" s="12"/>
      <c r="AG7" s="12"/>
      <c r="AH7" s="12"/>
      <c r="AI7" s="12"/>
      <c r="AJ7" s="12"/>
      <c r="AK7" s="12"/>
      <c r="AL7" s="12" t="s">
        <v>118</v>
      </c>
      <c r="AN7" t="s">
        <v>64</v>
      </c>
      <c r="AO7">
        <v>0</v>
      </c>
      <c r="AP7">
        <v>0</v>
      </c>
      <c r="AQ7">
        <v>0</v>
      </c>
      <c r="AR7">
        <v>100</v>
      </c>
      <c r="AS7">
        <v>0</v>
      </c>
      <c r="AT7">
        <v>0</v>
      </c>
      <c r="AU7">
        <v>0</v>
      </c>
      <c r="AV7">
        <v>0</v>
      </c>
      <c r="AW7">
        <v>11000</v>
      </c>
      <c r="AX7">
        <v>0</v>
      </c>
      <c r="AY7" t="s">
        <v>76</v>
      </c>
      <c r="AZ7">
        <f t="shared" si="1"/>
        <v>11000</v>
      </c>
      <c r="BA7">
        <v>2500</v>
      </c>
      <c r="BB7" t="s">
        <v>76</v>
      </c>
      <c r="BC7" s="22"/>
      <c r="BD7" s="22"/>
      <c r="BE7" s="22">
        <v>0</v>
      </c>
      <c r="BF7" s="22">
        <v>1500</v>
      </c>
      <c r="BG7" s="22"/>
      <c r="BH7" s="22"/>
      <c r="BI7" s="22"/>
      <c r="BJ7" s="22" t="s">
        <v>76</v>
      </c>
      <c r="BK7" t="s">
        <v>63</v>
      </c>
      <c r="BM7" s="22" t="s">
        <v>77</v>
      </c>
      <c r="BN7" s="22"/>
      <c r="BW7" t="s">
        <v>77</v>
      </c>
      <c r="BX7" t="s">
        <v>90</v>
      </c>
      <c r="BZ7" t="s">
        <v>76</v>
      </c>
      <c r="CB7" t="s">
        <v>77</v>
      </c>
      <c r="CD7" t="s">
        <v>77</v>
      </c>
    </row>
    <row r="8" spans="1:82" x14ac:dyDescent="0.25">
      <c r="A8">
        <v>1234</v>
      </c>
      <c r="B8" t="s">
        <v>58</v>
      </c>
      <c r="C8" t="s">
        <v>29</v>
      </c>
      <c r="D8" t="s">
        <v>211</v>
      </c>
      <c r="E8">
        <v>23714</v>
      </c>
      <c r="F8">
        <v>7898</v>
      </c>
      <c r="G8" t="s">
        <v>65</v>
      </c>
      <c r="H8">
        <f t="shared" si="0"/>
        <v>0</v>
      </c>
      <c r="I8">
        <v>12</v>
      </c>
      <c r="J8">
        <v>12</v>
      </c>
      <c r="K8">
        <v>43</v>
      </c>
      <c r="L8">
        <v>33</v>
      </c>
      <c r="M8">
        <v>947.76</v>
      </c>
      <c r="N8">
        <v>947.76</v>
      </c>
      <c r="O8">
        <v>3396.14</v>
      </c>
      <c r="P8">
        <v>2606.34</v>
      </c>
      <c r="Q8" t="s">
        <v>76</v>
      </c>
      <c r="S8">
        <v>2</v>
      </c>
      <c r="T8">
        <v>3</v>
      </c>
      <c r="U8">
        <v>2</v>
      </c>
      <c r="V8" t="s">
        <v>76</v>
      </c>
      <c r="W8" t="s">
        <v>89</v>
      </c>
      <c r="X8" t="s">
        <v>64</v>
      </c>
      <c r="Y8">
        <v>947.76</v>
      </c>
      <c r="Z8">
        <v>12</v>
      </c>
      <c r="AA8">
        <v>12</v>
      </c>
      <c r="AB8">
        <v>12</v>
      </c>
      <c r="AC8">
        <v>12</v>
      </c>
      <c r="AD8">
        <v>12</v>
      </c>
      <c r="AE8">
        <v>40</v>
      </c>
      <c r="AF8">
        <v>113.73119999999999</v>
      </c>
      <c r="AG8">
        <v>113.73119999999999</v>
      </c>
      <c r="AH8">
        <v>113.73119999999999</v>
      </c>
      <c r="AI8">
        <v>113.73119999999999</v>
      </c>
      <c r="AJ8">
        <v>113.73119999999999</v>
      </c>
      <c r="AK8">
        <v>379.10400000000004</v>
      </c>
      <c r="AL8" s="18" t="s">
        <v>76</v>
      </c>
      <c r="AN8" t="s">
        <v>64</v>
      </c>
      <c r="AO8">
        <v>7.6923076923076925</v>
      </c>
      <c r="AP8">
        <v>76.923076923076934</v>
      </c>
      <c r="AQ8">
        <v>7.6923076923076925</v>
      </c>
      <c r="AR8">
        <v>7.6923076923076925</v>
      </c>
      <c r="AS8">
        <v>0</v>
      </c>
      <c r="AT8">
        <v>261.24153846153848</v>
      </c>
      <c r="AU8">
        <v>2612.4153846153849</v>
      </c>
      <c r="AV8">
        <v>261.24153846153848</v>
      </c>
      <c r="AW8">
        <v>261.24153846153848</v>
      </c>
      <c r="AX8">
        <v>0</v>
      </c>
      <c r="AY8" t="s">
        <v>76</v>
      </c>
      <c r="AZ8">
        <f t="shared" si="1"/>
        <v>3396.14</v>
      </c>
      <c r="BA8">
        <v>12231</v>
      </c>
      <c r="BB8" t="s">
        <v>76</v>
      </c>
      <c r="BC8" s="22"/>
      <c r="BD8" s="22"/>
      <c r="BE8" s="22"/>
      <c r="BF8" s="22"/>
      <c r="BG8" s="22"/>
      <c r="BH8" s="22"/>
      <c r="BI8" s="22"/>
      <c r="BJ8" s="22" t="s">
        <v>77</v>
      </c>
      <c r="BK8" t="s">
        <v>160</v>
      </c>
      <c r="BM8" s="22" t="s">
        <v>90</v>
      </c>
      <c r="BN8" s="22"/>
      <c r="BW8" t="s">
        <v>77</v>
      </c>
      <c r="BX8" t="s">
        <v>89</v>
      </c>
      <c r="BZ8" t="s">
        <v>76</v>
      </c>
      <c r="CB8" t="s">
        <v>77</v>
      </c>
      <c r="CD8" t="s">
        <v>77</v>
      </c>
    </row>
    <row r="9" spans="1:82" x14ac:dyDescent="0.25">
      <c r="A9">
        <v>1237</v>
      </c>
      <c r="B9" t="s">
        <v>59</v>
      </c>
      <c r="C9" t="s">
        <v>29</v>
      </c>
      <c r="D9" t="s">
        <v>211</v>
      </c>
      <c r="F9">
        <v>72852</v>
      </c>
      <c r="G9" t="s">
        <v>65</v>
      </c>
      <c r="H9">
        <f t="shared" si="0"/>
        <v>72852</v>
      </c>
      <c r="I9" s="11"/>
      <c r="J9" s="11"/>
      <c r="K9" s="11"/>
      <c r="L9" s="11"/>
      <c r="M9" s="11"/>
      <c r="N9" s="11"/>
      <c r="O9" s="11"/>
      <c r="P9" s="11"/>
      <c r="Q9" s="11" t="s">
        <v>77</v>
      </c>
      <c r="R9" s="11"/>
      <c r="V9" t="s">
        <v>77</v>
      </c>
      <c r="W9" t="s">
        <v>77</v>
      </c>
      <c r="X9" t="s">
        <v>77</v>
      </c>
      <c r="Y9" s="11"/>
      <c r="Z9" s="11"/>
      <c r="AA9" s="11"/>
      <c r="AB9" s="11"/>
      <c r="AC9" s="11"/>
      <c r="AD9" s="11"/>
      <c r="AE9" s="11"/>
      <c r="AF9" s="11"/>
      <c r="AG9" s="11"/>
      <c r="AH9" s="11"/>
      <c r="AI9" s="11"/>
      <c r="AJ9" s="11"/>
      <c r="AK9" s="11"/>
      <c r="AL9" s="11" t="s">
        <v>77</v>
      </c>
      <c r="AN9" t="s">
        <v>77</v>
      </c>
      <c r="AO9" s="11"/>
      <c r="AP9" s="11"/>
      <c r="AQ9" s="11"/>
      <c r="AR9" s="11"/>
      <c r="AS9" s="11"/>
      <c r="AT9" s="11"/>
      <c r="AU9" s="11"/>
      <c r="AV9" s="11"/>
      <c r="AW9" s="11"/>
      <c r="AX9" s="11"/>
      <c r="AY9" s="11" t="s">
        <v>77</v>
      </c>
      <c r="AZ9">
        <f t="shared" si="1"/>
        <v>0</v>
      </c>
      <c r="BB9" t="s">
        <v>77</v>
      </c>
      <c r="BC9" s="22"/>
      <c r="BD9" s="22"/>
      <c r="BE9" s="22"/>
      <c r="BF9" s="22"/>
      <c r="BG9" s="22"/>
      <c r="BH9" s="22"/>
      <c r="BI9" s="22"/>
      <c r="BJ9" s="22" t="s">
        <v>77</v>
      </c>
      <c r="BK9" t="s">
        <v>77</v>
      </c>
      <c r="BM9" s="22" t="s">
        <v>77</v>
      </c>
      <c r="BN9" s="22"/>
      <c r="BW9" t="s">
        <v>77</v>
      </c>
      <c r="BX9" t="s">
        <v>77</v>
      </c>
      <c r="BZ9" t="s">
        <v>201</v>
      </c>
      <c r="CB9" t="s">
        <v>77</v>
      </c>
      <c r="CD9" t="s">
        <v>77</v>
      </c>
    </row>
    <row r="10" spans="1:82" x14ac:dyDescent="0.25">
      <c r="A10">
        <v>1252</v>
      </c>
      <c r="B10" t="s">
        <v>59</v>
      </c>
      <c r="C10" t="s">
        <v>30</v>
      </c>
      <c r="D10" t="s">
        <v>211</v>
      </c>
      <c r="E10">
        <v>100000</v>
      </c>
      <c r="F10">
        <v>60000</v>
      </c>
      <c r="G10" t="s">
        <v>65</v>
      </c>
      <c r="H10">
        <f t="shared" si="0"/>
        <v>0</v>
      </c>
      <c r="I10">
        <v>5</v>
      </c>
      <c r="J10">
        <v>90</v>
      </c>
      <c r="K10">
        <v>0</v>
      </c>
      <c r="L10">
        <v>5</v>
      </c>
      <c r="M10">
        <v>3000</v>
      </c>
      <c r="N10">
        <v>54000</v>
      </c>
      <c r="O10">
        <v>0</v>
      </c>
      <c r="P10">
        <v>3000</v>
      </c>
      <c r="Q10" t="s">
        <v>76</v>
      </c>
      <c r="S10">
        <v>45</v>
      </c>
      <c r="T10">
        <v>45</v>
      </c>
      <c r="U10">
        <v>45</v>
      </c>
      <c r="V10" t="s">
        <v>76</v>
      </c>
      <c r="W10" t="s">
        <v>89</v>
      </c>
      <c r="X10" t="s">
        <v>64</v>
      </c>
      <c r="Y10">
        <v>3000</v>
      </c>
      <c r="Z10">
        <v>15</v>
      </c>
      <c r="AA10">
        <v>15</v>
      </c>
      <c r="AB10">
        <v>40</v>
      </c>
      <c r="AC10">
        <v>20</v>
      </c>
      <c r="AD10">
        <v>0</v>
      </c>
      <c r="AE10">
        <v>10</v>
      </c>
      <c r="AF10">
        <v>450</v>
      </c>
      <c r="AG10">
        <v>450</v>
      </c>
      <c r="AH10">
        <v>1200</v>
      </c>
      <c r="AI10">
        <v>600</v>
      </c>
      <c r="AJ10">
        <v>0</v>
      </c>
      <c r="AK10">
        <v>300</v>
      </c>
      <c r="AL10" s="11" t="s">
        <v>76</v>
      </c>
      <c r="AN10" t="s">
        <v>63</v>
      </c>
      <c r="AO10" s="11"/>
      <c r="AP10" s="11"/>
      <c r="AQ10" s="11"/>
      <c r="AR10" s="11"/>
      <c r="AS10" s="11"/>
      <c r="AT10" s="11"/>
      <c r="AU10" s="11"/>
      <c r="AV10" s="11"/>
      <c r="AW10" s="11"/>
      <c r="AX10" s="11"/>
      <c r="AY10" s="11" t="s">
        <v>77</v>
      </c>
      <c r="AZ10">
        <f t="shared" si="1"/>
        <v>0</v>
      </c>
      <c r="BB10" t="s">
        <v>77</v>
      </c>
      <c r="BC10" s="22"/>
      <c r="BD10" s="22"/>
      <c r="BE10" s="22"/>
      <c r="BF10" s="22"/>
      <c r="BG10" s="22"/>
      <c r="BH10" s="22"/>
      <c r="BI10" s="22"/>
      <c r="BJ10" s="22" t="s">
        <v>77</v>
      </c>
      <c r="BK10" t="s">
        <v>77</v>
      </c>
      <c r="BM10" s="22" t="s">
        <v>77</v>
      </c>
      <c r="BN10" s="22"/>
      <c r="BW10" t="s">
        <v>77</v>
      </c>
      <c r="BX10" t="s">
        <v>77</v>
      </c>
      <c r="BZ10" t="s">
        <v>201</v>
      </c>
      <c r="CB10" t="s">
        <v>77</v>
      </c>
      <c r="CD10" t="s">
        <v>77</v>
      </c>
    </row>
    <row r="11" spans="1:82" x14ac:dyDescent="0.25">
      <c r="A11">
        <v>1253</v>
      </c>
      <c r="B11" t="s">
        <v>59</v>
      </c>
      <c r="C11" t="s">
        <v>30</v>
      </c>
      <c r="D11" t="s">
        <v>211</v>
      </c>
      <c r="E11">
        <v>63500</v>
      </c>
      <c r="F11">
        <v>45359</v>
      </c>
      <c r="G11" t="s">
        <v>65</v>
      </c>
      <c r="H11">
        <f t="shared" si="0"/>
        <v>0</v>
      </c>
      <c r="I11">
        <v>0</v>
      </c>
      <c r="J11">
        <v>100</v>
      </c>
      <c r="K11">
        <v>0</v>
      </c>
      <c r="L11">
        <v>0</v>
      </c>
      <c r="M11">
        <v>0</v>
      </c>
      <c r="N11">
        <v>45359</v>
      </c>
      <c r="O11">
        <v>0</v>
      </c>
      <c r="P11">
        <v>0</v>
      </c>
      <c r="Q11" t="s">
        <v>76</v>
      </c>
      <c r="S11">
        <v>57.37</v>
      </c>
      <c r="T11">
        <v>0</v>
      </c>
      <c r="U11">
        <v>29</v>
      </c>
      <c r="V11" t="s">
        <v>76</v>
      </c>
      <c r="W11" t="s">
        <v>64</v>
      </c>
      <c r="X11" t="s">
        <v>64</v>
      </c>
      <c r="Y11">
        <v>0</v>
      </c>
      <c r="Z11" s="12"/>
      <c r="AA11" s="12"/>
      <c r="AB11" s="12"/>
      <c r="AC11" s="12"/>
      <c r="AD11" s="12"/>
      <c r="AE11" s="12"/>
      <c r="AF11" s="12"/>
      <c r="AG11" s="12"/>
      <c r="AH11" s="12"/>
      <c r="AI11" s="12"/>
      <c r="AJ11" s="12"/>
      <c r="AK11" s="12"/>
      <c r="AL11" s="12" t="s">
        <v>118</v>
      </c>
      <c r="AN11" t="s">
        <v>63</v>
      </c>
      <c r="AO11" s="11"/>
      <c r="AP11" s="11"/>
      <c r="AQ11" s="11"/>
      <c r="AR11" s="11"/>
      <c r="AS11" s="11"/>
      <c r="AT11" s="11"/>
      <c r="AU11" s="11"/>
      <c r="AV11" s="11"/>
      <c r="AW11" s="11"/>
      <c r="AX11" s="11"/>
      <c r="AY11" s="11" t="s">
        <v>77</v>
      </c>
      <c r="AZ11">
        <f t="shared" si="1"/>
        <v>0</v>
      </c>
      <c r="BB11" t="s">
        <v>77</v>
      </c>
      <c r="BC11" s="22"/>
      <c r="BD11" s="22"/>
      <c r="BE11" s="22"/>
      <c r="BF11" s="22"/>
      <c r="BG11" s="22"/>
      <c r="BH11" s="22"/>
      <c r="BI11" s="22"/>
      <c r="BJ11" s="22" t="s">
        <v>77</v>
      </c>
      <c r="BK11" t="s">
        <v>77</v>
      </c>
      <c r="BM11" s="22" t="s">
        <v>77</v>
      </c>
      <c r="BN11" s="22"/>
      <c r="BW11" t="s">
        <v>77</v>
      </c>
      <c r="BX11" t="s">
        <v>77</v>
      </c>
      <c r="BZ11" t="s">
        <v>201</v>
      </c>
      <c r="CB11" t="s">
        <v>77</v>
      </c>
      <c r="CD11" t="s">
        <v>77</v>
      </c>
    </row>
    <row r="12" spans="1:82" x14ac:dyDescent="0.25">
      <c r="A12">
        <v>1255</v>
      </c>
      <c r="B12" t="s">
        <v>59</v>
      </c>
      <c r="C12" t="s">
        <v>30</v>
      </c>
      <c r="D12" t="s">
        <v>211</v>
      </c>
      <c r="E12">
        <v>150000</v>
      </c>
      <c r="F12">
        <v>98970</v>
      </c>
      <c r="G12" t="s">
        <v>65</v>
      </c>
      <c r="H12">
        <f t="shared" si="0"/>
        <v>98970</v>
      </c>
      <c r="I12" s="11"/>
      <c r="J12" s="11"/>
      <c r="K12" s="11"/>
      <c r="L12" s="11"/>
      <c r="M12" s="11"/>
      <c r="N12" s="11"/>
      <c r="O12" s="11"/>
      <c r="P12" s="11"/>
      <c r="Q12" s="11" t="s">
        <v>77</v>
      </c>
      <c r="R12" s="11"/>
      <c r="S12">
        <v>57.57</v>
      </c>
      <c r="V12" t="s">
        <v>76</v>
      </c>
      <c r="W12" t="s">
        <v>64</v>
      </c>
      <c r="X12" t="s">
        <v>64</v>
      </c>
      <c r="Y12" s="11"/>
      <c r="Z12" s="11"/>
      <c r="AA12" s="11"/>
      <c r="AB12" s="11"/>
      <c r="AC12" s="11"/>
      <c r="AD12" s="11"/>
      <c r="AE12" s="11"/>
      <c r="AF12" s="11"/>
      <c r="AG12" s="11"/>
      <c r="AH12" s="11"/>
      <c r="AI12" s="11"/>
      <c r="AJ12" s="11"/>
      <c r="AK12" s="11"/>
      <c r="AL12" s="11" t="s">
        <v>77</v>
      </c>
      <c r="AN12" t="s">
        <v>77</v>
      </c>
      <c r="AO12" s="11"/>
      <c r="AP12" s="11"/>
      <c r="AQ12" s="11"/>
      <c r="AR12" s="11"/>
      <c r="AS12" s="11"/>
      <c r="AT12" s="11"/>
      <c r="AU12" s="11"/>
      <c r="AV12" s="11"/>
      <c r="AW12" s="11"/>
      <c r="AX12" s="11"/>
      <c r="AY12" s="11" t="s">
        <v>77</v>
      </c>
      <c r="AZ12">
        <f t="shared" si="1"/>
        <v>0</v>
      </c>
      <c r="BB12" t="s">
        <v>77</v>
      </c>
      <c r="BC12" s="22"/>
      <c r="BD12" s="22"/>
      <c r="BE12" s="22"/>
      <c r="BF12" s="22"/>
      <c r="BG12" s="22"/>
      <c r="BH12" s="22"/>
      <c r="BI12" s="22"/>
      <c r="BJ12" s="22" t="s">
        <v>77</v>
      </c>
      <c r="BK12" t="s">
        <v>77</v>
      </c>
      <c r="BM12" s="22" t="s">
        <v>77</v>
      </c>
      <c r="BN12" s="22"/>
      <c r="BW12" t="s">
        <v>77</v>
      </c>
      <c r="BX12" t="s">
        <v>77</v>
      </c>
      <c r="BZ12" t="s">
        <v>201</v>
      </c>
      <c r="CB12" t="s">
        <v>77</v>
      </c>
      <c r="CD12" t="s">
        <v>77</v>
      </c>
    </row>
    <row r="13" spans="1:82" x14ac:dyDescent="0.25">
      <c r="A13">
        <v>1265</v>
      </c>
      <c r="B13" t="s">
        <v>58</v>
      </c>
      <c r="C13" t="s">
        <v>30</v>
      </c>
      <c r="D13" t="s">
        <v>211</v>
      </c>
      <c r="E13">
        <v>65622</v>
      </c>
      <c r="F13">
        <v>45721</v>
      </c>
      <c r="G13" t="s">
        <v>65</v>
      </c>
      <c r="H13">
        <f t="shared" si="0"/>
        <v>0</v>
      </c>
      <c r="I13">
        <v>10.3</v>
      </c>
      <c r="J13">
        <v>82.7</v>
      </c>
      <c r="K13">
        <v>3</v>
      </c>
      <c r="L13">
        <v>4</v>
      </c>
      <c r="M13">
        <v>4709.2630000000008</v>
      </c>
      <c r="N13">
        <v>37811.267</v>
      </c>
      <c r="O13">
        <v>1371.63</v>
      </c>
      <c r="P13">
        <v>1828.8400000000001</v>
      </c>
      <c r="Q13" t="s">
        <v>76</v>
      </c>
      <c r="S13">
        <v>74</v>
      </c>
      <c r="U13">
        <v>25</v>
      </c>
      <c r="V13" t="s">
        <v>76</v>
      </c>
      <c r="W13" t="s">
        <v>89</v>
      </c>
      <c r="X13" t="s">
        <v>89</v>
      </c>
      <c r="Y13">
        <v>4709.2630000000008</v>
      </c>
      <c r="Z13">
        <v>9.7087378640776698E-2</v>
      </c>
      <c r="AA13">
        <v>9.7087378640776698E-2</v>
      </c>
      <c r="AB13">
        <v>0.77669902912621358</v>
      </c>
      <c r="AC13">
        <v>1.9417475728155338</v>
      </c>
      <c r="AD13">
        <v>0</v>
      </c>
      <c r="AE13">
        <v>97.087378640776691</v>
      </c>
      <c r="AF13">
        <v>4.5721000000000007</v>
      </c>
      <c r="AG13">
        <v>4.5721000000000007</v>
      </c>
      <c r="AH13">
        <v>36.576800000000006</v>
      </c>
      <c r="AI13">
        <v>91.442000000000007</v>
      </c>
      <c r="AJ13">
        <v>0</v>
      </c>
      <c r="AK13">
        <v>4572.1000000000004</v>
      </c>
      <c r="AL13" s="18" t="s">
        <v>76</v>
      </c>
      <c r="AM13" t="s">
        <v>64</v>
      </c>
      <c r="AN13" t="s">
        <v>64</v>
      </c>
      <c r="AO13">
        <v>1.3157894736842104</v>
      </c>
      <c r="AP13">
        <v>0</v>
      </c>
      <c r="AQ13">
        <v>0</v>
      </c>
      <c r="AR13">
        <v>98.68421052631578</v>
      </c>
      <c r="AS13">
        <v>0</v>
      </c>
      <c r="AT13">
        <v>18.047763157894739</v>
      </c>
      <c r="AU13">
        <v>0</v>
      </c>
      <c r="AV13">
        <v>0</v>
      </c>
      <c r="AW13">
        <v>1353.5822368421054</v>
      </c>
      <c r="AX13">
        <v>0</v>
      </c>
      <c r="AY13" t="s">
        <v>76</v>
      </c>
      <c r="AZ13">
        <f t="shared" si="1"/>
        <v>1371.63</v>
      </c>
      <c r="BA13">
        <v>1260</v>
      </c>
      <c r="BB13" t="s">
        <v>76</v>
      </c>
      <c r="BC13" s="25"/>
      <c r="BD13" s="25">
        <v>0</v>
      </c>
      <c r="BE13" s="25"/>
      <c r="BF13" s="25">
        <v>0</v>
      </c>
      <c r="BG13" s="25"/>
      <c r="BH13" s="25">
        <v>0</v>
      </c>
      <c r="BI13" s="22"/>
      <c r="BJ13" s="22" t="s">
        <v>77</v>
      </c>
      <c r="BK13" t="s">
        <v>158</v>
      </c>
      <c r="BM13" s="22" t="s">
        <v>89</v>
      </c>
      <c r="BN13" s="22">
        <v>0</v>
      </c>
      <c r="BW13" t="s">
        <v>77</v>
      </c>
      <c r="BX13" t="s">
        <v>90</v>
      </c>
      <c r="BZ13" t="s">
        <v>76</v>
      </c>
      <c r="CB13" t="s">
        <v>77</v>
      </c>
      <c r="CD13" t="s">
        <v>77</v>
      </c>
    </row>
    <row r="14" spans="1:82" x14ac:dyDescent="0.25">
      <c r="A14">
        <v>1342</v>
      </c>
      <c r="B14" t="s">
        <v>59</v>
      </c>
      <c r="C14" t="s">
        <v>35</v>
      </c>
      <c r="D14" t="s">
        <v>211</v>
      </c>
      <c r="E14">
        <v>21000</v>
      </c>
      <c r="F14">
        <v>56856.01</v>
      </c>
      <c r="G14" t="s">
        <v>65</v>
      </c>
      <c r="H14">
        <f t="shared" si="0"/>
        <v>0</v>
      </c>
      <c r="I14">
        <v>2.499130589650449</v>
      </c>
      <c r="J14">
        <v>97.500869410349551</v>
      </c>
      <c r="K14">
        <v>0</v>
      </c>
      <c r="L14">
        <v>0</v>
      </c>
      <c r="M14">
        <v>1420.9059379647183</v>
      </c>
      <c r="N14">
        <v>55435.10406203528</v>
      </c>
      <c r="O14">
        <v>0</v>
      </c>
      <c r="P14">
        <v>0</v>
      </c>
      <c r="Q14" t="s">
        <v>76</v>
      </c>
      <c r="R14" t="s">
        <v>64</v>
      </c>
      <c r="S14">
        <v>42</v>
      </c>
      <c r="T14">
        <v>20</v>
      </c>
      <c r="U14">
        <v>20</v>
      </c>
      <c r="V14" t="s">
        <v>76</v>
      </c>
      <c r="W14" t="s">
        <v>64</v>
      </c>
      <c r="X14" t="s">
        <v>64</v>
      </c>
      <c r="Z14" s="11"/>
      <c r="AA14" s="11"/>
      <c r="AB14" s="11"/>
      <c r="AC14" s="11"/>
      <c r="AD14" s="11"/>
      <c r="AE14" s="11"/>
      <c r="AF14" s="11"/>
      <c r="AG14" s="11"/>
      <c r="AH14" s="11"/>
      <c r="AI14" s="11"/>
      <c r="AJ14" s="11"/>
      <c r="AK14" s="11"/>
      <c r="AL14" s="11" t="s">
        <v>77</v>
      </c>
      <c r="AN14" t="s">
        <v>64</v>
      </c>
      <c r="AO14" s="11"/>
      <c r="AP14" s="11"/>
      <c r="AQ14" s="11"/>
      <c r="AR14" s="11"/>
      <c r="AS14" s="11"/>
      <c r="AT14" s="11"/>
      <c r="AU14" s="11"/>
      <c r="AV14" s="11"/>
      <c r="AW14" s="11"/>
      <c r="AX14" s="11"/>
      <c r="AY14" s="11" t="s">
        <v>77</v>
      </c>
      <c r="AZ14">
        <f t="shared" si="1"/>
        <v>0</v>
      </c>
      <c r="BB14" t="s">
        <v>77</v>
      </c>
      <c r="BC14" s="22"/>
      <c r="BD14" s="22"/>
      <c r="BE14" s="22"/>
      <c r="BF14" s="22"/>
      <c r="BG14" s="22"/>
      <c r="BH14" s="22"/>
      <c r="BI14" s="22"/>
      <c r="BJ14" s="22" t="s">
        <v>77</v>
      </c>
      <c r="BK14" t="s">
        <v>77</v>
      </c>
      <c r="BM14" s="22" t="s">
        <v>64</v>
      </c>
      <c r="BN14" s="22">
        <v>0</v>
      </c>
      <c r="BW14" t="s">
        <v>77</v>
      </c>
      <c r="BX14" t="s">
        <v>63</v>
      </c>
      <c r="BZ14" t="s">
        <v>76</v>
      </c>
      <c r="CB14" t="s">
        <v>77</v>
      </c>
      <c r="CD14" t="s">
        <v>77</v>
      </c>
    </row>
    <row r="15" spans="1:82" x14ac:dyDescent="0.25">
      <c r="A15">
        <v>1353</v>
      </c>
      <c r="B15" t="s">
        <v>58</v>
      </c>
      <c r="C15" t="s">
        <v>36</v>
      </c>
      <c r="D15" t="s">
        <v>211</v>
      </c>
      <c r="E15">
        <v>200000</v>
      </c>
      <c r="F15">
        <v>136000</v>
      </c>
      <c r="G15" t="s">
        <v>65</v>
      </c>
      <c r="H15">
        <f t="shared" si="0"/>
        <v>0</v>
      </c>
      <c r="I15">
        <v>0</v>
      </c>
      <c r="J15">
        <v>100</v>
      </c>
      <c r="K15">
        <v>0</v>
      </c>
      <c r="L15">
        <v>0</v>
      </c>
      <c r="M15">
        <v>0</v>
      </c>
      <c r="N15">
        <v>136000</v>
      </c>
      <c r="O15">
        <v>0</v>
      </c>
      <c r="P15">
        <v>0</v>
      </c>
      <c r="Q15" t="s">
        <v>76</v>
      </c>
      <c r="V15" t="s">
        <v>77</v>
      </c>
      <c r="W15" t="s">
        <v>89</v>
      </c>
      <c r="X15" t="s">
        <v>89</v>
      </c>
      <c r="Y15">
        <v>0</v>
      </c>
      <c r="Z15" s="12"/>
      <c r="AA15" s="12"/>
      <c r="AB15" s="12"/>
      <c r="AC15" s="12"/>
      <c r="AD15" s="12"/>
      <c r="AE15" s="12"/>
      <c r="AF15" s="12"/>
      <c r="AG15" s="12"/>
      <c r="AH15" s="12"/>
      <c r="AI15" s="12"/>
      <c r="AJ15" s="12"/>
      <c r="AK15" s="12"/>
      <c r="AL15" s="12" t="s">
        <v>118</v>
      </c>
      <c r="AM15" t="s">
        <v>64</v>
      </c>
      <c r="AN15" t="s">
        <v>63</v>
      </c>
      <c r="AO15" s="11"/>
      <c r="AP15" s="11"/>
      <c r="AQ15" s="11"/>
      <c r="AR15" s="11"/>
      <c r="AS15" s="11"/>
      <c r="AT15" s="11"/>
      <c r="AU15" s="11"/>
      <c r="AV15" s="11"/>
      <c r="AW15" s="11"/>
      <c r="AX15" s="11"/>
      <c r="AY15" s="11" t="s">
        <v>77</v>
      </c>
      <c r="AZ15">
        <f t="shared" si="1"/>
        <v>0</v>
      </c>
      <c r="BB15" t="s">
        <v>77</v>
      </c>
      <c r="BC15" s="22"/>
      <c r="BD15" s="22"/>
      <c r="BE15" s="22"/>
      <c r="BF15" s="22"/>
      <c r="BG15" s="22"/>
      <c r="BH15" s="22"/>
      <c r="BI15" s="22"/>
      <c r="BJ15" s="22" t="s">
        <v>77</v>
      </c>
      <c r="BK15" t="s">
        <v>77</v>
      </c>
      <c r="BM15" s="22" t="s">
        <v>77</v>
      </c>
      <c r="BN15" s="22"/>
      <c r="BW15" t="s">
        <v>77</v>
      </c>
      <c r="BX15" t="s">
        <v>77</v>
      </c>
      <c r="BZ15" t="s">
        <v>201</v>
      </c>
      <c r="CB15" t="s">
        <v>77</v>
      </c>
      <c r="CD15" t="s">
        <v>77</v>
      </c>
    </row>
    <row r="16" spans="1:82" x14ac:dyDescent="0.25">
      <c r="A16">
        <v>1354</v>
      </c>
      <c r="B16" t="s">
        <v>59</v>
      </c>
      <c r="C16" t="s">
        <v>36</v>
      </c>
      <c r="D16" t="s">
        <v>211</v>
      </c>
      <c r="E16">
        <v>36000</v>
      </c>
      <c r="F16">
        <v>136717</v>
      </c>
      <c r="G16" t="s">
        <v>65</v>
      </c>
      <c r="H16">
        <f t="shared" si="0"/>
        <v>0</v>
      </c>
      <c r="I16">
        <v>0</v>
      </c>
      <c r="J16">
        <v>100</v>
      </c>
      <c r="K16">
        <v>0</v>
      </c>
      <c r="L16">
        <v>0</v>
      </c>
      <c r="M16">
        <v>0</v>
      </c>
      <c r="N16">
        <v>136717</v>
      </c>
      <c r="O16">
        <v>0</v>
      </c>
      <c r="P16">
        <v>0</v>
      </c>
      <c r="Q16" t="s">
        <v>76</v>
      </c>
      <c r="V16" t="s">
        <v>77</v>
      </c>
      <c r="W16" t="s">
        <v>64</v>
      </c>
      <c r="X16" t="s">
        <v>64</v>
      </c>
      <c r="Y16">
        <v>0</v>
      </c>
      <c r="Z16" s="11"/>
      <c r="AA16" s="11"/>
      <c r="AB16" s="11"/>
      <c r="AC16" s="11"/>
      <c r="AD16" s="11"/>
      <c r="AE16" s="11"/>
      <c r="AF16" s="11"/>
      <c r="AG16" s="11"/>
      <c r="AH16" s="11"/>
      <c r="AI16" s="11"/>
      <c r="AJ16" s="11"/>
      <c r="AK16" s="11"/>
      <c r="AL16" s="11" t="s">
        <v>77</v>
      </c>
      <c r="AN16" t="s">
        <v>63</v>
      </c>
      <c r="AO16" s="11"/>
      <c r="AP16" s="11"/>
      <c r="AQ16" s="11"/>
      <c r="AR16" s="11"/>
      <c r="AS16" s="11"/>
      <c r="AT16" s="11"/>
      <c r="AU16" s="11"/>
      <c r="AV16" s="11"/>
      <c r="AW16" s="11"/>
      <c r="AX16" s="11"/>
      <c r="AY16" s="11" t="s">
        <v>77</v>
      </c>
      <c r="AZ16">
        <f t="shared" si="1"/>
        <v>0</v>
      </c>
      <c r="BB16" t="s">
        <v>77</v>
      </c>
      <c r="BC16" s="22"/>
      <c r="BD16" s="22"/>
      <c r="BE16" s="22"/>
      <c r="BF16" s="22"/>
      <c r="BG16" s="22"/>
      <c r="BH16" s="22"/>
      <c r="BI16" s="22"/>
      <c r="BJ16" s="22" t="s">
        <v>77</v>
      </c>
      <c r="BK16" t="s">
        <v>77</v>
      </c>
      <c r="BM16" s="22" t="s">
        <v>77</v>
      </c>
      <c r="BN16" s="22"/>
      <c r="BW16" t="s">
        <v>77</v>
      </c>
      <c r="BX16" t="s">
        <v>77</v>
      </c>
      <c r="BZ16" t="s">
        <v>201</v>
      </c>
      <c r="CB16" t="s">
        <v>77</v>
      </c>
      <c r="CD16" t="s">
        <v>77</v>
      </c>
    </row>
    <row r="17" spans="1:82" x14ac:dyDescent="0.25">
      <c r="A17">
        <v>1361</v>
      </c>
      <c r="B17" t="s">
        <v>58</v>
      </c>
      <c r="C17" t="s">
        <v>36</v>
      </c>
      <c r="D17" t="s">
        <v>211</v>
      </c>
      <c r="E17">
        <v>500000</v>
      </c>
      <c r="F17">
        <v>250000</v>
      </c>
      <c r="G17" t="s">
        <v>65</v>
      </c>
      <c r="H17">
        <f t="shared" si="0"/>
        <v>0</v>
      </c>
      <c r="I17">
        <v>10</v>
      </c>
      <c r="J17">
        <v>90</v>
      </c>
      <c r="K17">
        <v>0</v>
      </c>
      <c r="L17">
        <v>0</v>
      </c>
      <c r="M17">
        <v>25000</v>
      </c>
      <c r="N17">
        <v>225000</v>
      </c>
      <c r="O17">
        <v>0</v>
      </c>
      <c r="P17">
        <v>0</v>
      </c>
      <c r="Q17" t="s">
        <v>76</v>
      </c>
      <c r="S17">
        <v>35</v>
      </c>
      <c r="V17" t="s">
        <v>76</v>
      </c>
      <c r="W17" t="s">
        <v>89</v>
      </c>
      <c r="X17" t="s">
        <v>89</v>
      </c>
      <c r="Y17">
        <v>25000</v>
      </c>
      <c r="Z17">
        <v>10</v>
      </c>
      <c r="AA17">
        <v>5</v>
      </c>
      <c r="AB17">
        <v>60</v>
      </c>
      <c r="AC17">
        <v>20</v>
      </c>
      <c r="AD17">
        <v>0</v>
      </c>
      <c r="AE17">
        <v>5</v>
      </c>
      <c r="AF17">
        <v>2500</v>
      </c>
      <c r="AG17">
        <v>1250</v>
      </c>
      <c r="AH17">
        <v>15000</v>
      </c>
      <c r="AI17">
        <v>5000</v>
      </c>
      <c r="AJ17">
        <v>0</v>
      </c>
      <c r="AK17">
        <v>1250</v>
      </c>
      <c r="AL17" s="18" t="s">
        <v>76</v>
      </c>
      <c r="AN17" t="s">
        <v>63</v>
      </c>
      <c r="AO17" s="11"/>
      <c r="AP17" s="11"/>
      <c r="AQ17" s="11"/>
      <c r="AR17" s="11"/>
      <c r="AS17" s="11"/>
      <c r="AT17" s="11"/>
      <c r="AU17" s="11"/>
      <c r="AV17" s="11"/>
      <c r="AW17" s="11"/>
      <c r="AX17" s="11"/>
      <c r="AY17" s="11" t="s">
        <v>77</v>
      </c>
      <c r="AZ17">
        <f t="shared" si="1"/>
        <v>0</v>
      </c>
      <c r="BB17" t="s">
        <v>77</v>
      </c>
      <c r="BC17" s="22"/>
      <c r="BD17" s="22"/>
      <c r="BE17" s="22"/>
      <c r="BF17" s="22"/>
      <c r="BG17" s="22"/>
      <c r="BH17" s="22"/>
      <c r="BI17" s="22"/>
      <c r="BJ17" s="22" t="s">
        <v>77</v>
      </c>
      <c r="BK17" t="s">
        <v>77</v>
      </c>
      <c r="BM17" s="22" t="s">
        <v>77</v>
      </c>
      <c r="BN17" s="22"/>
      <c r="BW17" t="s">
        <v>77</v>
      </c>
      <c r="BX17" t="s">
        <v>89</v>
      </c>
      <c r="BZ17" t="s">
        <v>76</v>
      </c>
      <c r="CB17" t="s">
        <v>77</v>
      </c>
      <c r="CD17" t="s">
        <v>77</v>
      </c>
    </row>
    <row r="18" spans="1:82" x14ac:dyDescent="0.25">
      <c r="A18">
        <v>1362</v>
      </c>
      <c r="B18" t="s">
        <v>58</v>
      </c>
      <c r="C18" t="s">
        <v>36</v>
      </c>
      <c r="D18" t="s">
        <v>211</v>
      </c>
      <c r="E18">
        <v>230000</v>
      </c>
      <c r="F18">
        <v>213000</v>
      </c>
      <c r="G18" t="s">
        <v>65</v>
      </c>
      <c r="H18">
        <f t="shared" si="0"/>
        <v>0</v>
      </c>
      <c r="I18">
        <v>0</v>
      </c>
      <c r="J18">
        <v>100</v>
      </c>
      <c r="K18">
        <v>0</v>
      </c>
      <c r="L18">
        <v>0</v>
      </c>
      <c r="M18">
        <v>0</v>
      </c>
      <c r="N18">
        <v>213000</v>
      </c>
      <c r="O18">
        <v>0</v>
      </c>
      <c r="P18">
        <v>0</v>
      </c>
      <c r="Q18" t="s">
        <v>76</v>
      </c>
      <c r="S18">
        <v>30</v>
      </c>
      <c r="V18" t="s">
        <v>76</v>
      </c>
      <c r="W18" t="s">
        <v>89</v>
      </c>
      <c r="X18" t="s">
        <v>89</v>
      </c>
      <c r="Y18">
        <v>0</v>
      </c>
      <c r="Z18" s="11"/>
      <c r="AA18" s="11"/>
      <c r="AB18" s="11"/>
      <c r="AC18" s="11"/>
      <c r="AD18" s="11"/>
      <c r="AE18" s="11"/>
      <c r="AF18" s="11"/>
      <c r="AG18" s="11"/>
      <c r="AH18" s="11"/>
      <c r="AI18" s="11"/>
      <c r="AJ18" s="11"/>
      <c r="AK18" s="11"/>
      <c r="AL18" s="11" t="s">
        <v>77</v>
      </c>
      <c r="AN18" t="s">
        <v>63</v>
      </c>
      <c r="AO18" s="11"/>
      <c r="AP18" s="11"/>
      <c r="AQ18" s="11"/>
      <c r="AR18" s="11"/>
      <c r="AS18" s="11"/>
      <c r="AT18" s="11"/>
      <c r="AU18" s="11"/>
      <c r="AV18" s="11"/>
      <c r="AW18" s="11"/>
      <c r="AX18" s="11"/>
      <c r="AY18" s="11" t="s">
        <v>77</v>
      </c>
      <c r="AZ18">
        <f t="shared" si="1"/>
        <v>0</v>
      </c>
      <c r="BB18" t="s">
        <v>77</v>
      </c>
      <c r="BC18" s="22"/>
      <c r="BD18" s="22"/>
      <c r="BE18" s="22"/>
      <c r="BF18" s="22"/>
      <c r="BG18" s="22"/>
      <c r="BH18" s="22"/>
      <c r="BI18" s="22"/>
      <c r="BJ18" s="22" t="s">
        <v>77</v>
      </c>
      <c r="BK18" t="s">
        <v>77</v>
      </c>
      <c r="BM18" s="22" t="s">
        <v>77</v>
      </c>
      <c r="BN18" s="22"/>
      <c r="BW18" t="s">
        <v>77</v>
      </c>
      <c r="BX18" t="s">
        <v>77</v>
      </c>
      <c r="BZ18" t="s">
        <v>201</v>
      </c>
      <c r="CB18" t="s">
        <v>77</v>
      </c>
      <c r="CD18" t="s">
        <v>77</v>
      </c>
    </row>
    <row r="19" spans="1:82" x14ac:dyDescent="0.25">
      <c r="A19">
        <v>1483</v>
      </c>
      <c r="B19" t="s">
        <v>59</v>
      </c>
      <c r="C19" t="s">
        <v>39</v>
      </c>
      <c r="D19" t="s">
        <v>211</v>
      </c>
      <c r="E19">
        <v>47500</v>
      </c>
      <c r="F19">
        <v>69000</v>
      </c>
      <c r="G19" t="s">
        <v>65</v>
      </c>
      <c r="H19">
        <f t="shared" si="0"/>
        <v>0</v>
      </c>
      <c r="I19">
        <v>0</v>
      </c>
      <c r="J19">
        <v>80</v>
      </c>
      <c r="K19">
        <v>20</v>
      </c>
      <c r="L19">
        <v>0</v>
      </c>
      <c r="M19">
        <v>0</v>
      </c>
      <c r="N19">
        <v>55200</v>
      </c>
      <c r="O19">
        <v>13800</v>
      </c>
      <c r="P19">
        <v>0</v>
      </c>
      <c r="Q19" t="s">
        <v>76</v>
      </c>
      <c r="S19">
        <v>44</v>
      </c>
      <c r="T19">
        <v>21</v>
      </c>
      <c r="U19">
        <v>21</v>
      </c>
      <c r="V19" t="s">
        <v>76</v>
      </c>
      <c r="W19" t="s">
        <v>89</v>
      </c>
      <c r="X19" t="s">
        <v>89</v>
      </c>
      <c r="Y19">
        <v>0</v>
      </c>
      <c r="Z19" s="12"/>
      <c r="AA19" s="12"/>
      <c r="AB19" s="12"/>
      <c r="AC19" s="12"/>
      <c r="AD19" s="12"/>
      <c r="AE19" s="12"/>
      <c r="AF19" s="12"/>
      <c r="AG19" s="12"/>
      <c r="AH19" s="12"/>
      <c r="AI19" s="12"/>
      <c r="AJ19" s="12"/>
      <c r="AK19" s="12"/>
      <c r="AL19" s="12" t="s">
        <v>118</v>
      </c>
      <c r="AN19" t="s">
        <v>64</v>
      </c>
      <c r="AO19">
        <v>80</v>
      </c>
      <c r="AP19">
        <v>5</v>
      </c>
      <c r="AQ19">
        <v>0</v>
      </c>
      <c r="AR19">
        <v>15</v>
      </c>
      <c r="AS19">
        <v>0</v>
      </c>
      <c r="AT19">
        <v>11040</v>
      </c>
      <c r="AU19">
        <v>690</v>
      </c>
      <c r="AV19">
        <v>0</v>
      </c>
      <c r="AW19">
        <v>2070</v>
      </c>
      <c r="AX19">
        <v>0</v>
      </c>
      <c r="AY19" t="s">
        <v>76</v>
      </c>
      <c r="AZ19">
        <f t="shared" si="1"/>
        <v>13800</v>
      </c>
      <c r="BA19">
        <v>0</v>
      </c>
      <c r="BB19" t="s">
        <v>118</v>
      </c>
      <c r="BC19" s="22"/>
      <c r="BD19" s="22">
        <v>7200</v>
      </c>
      <c r="BE19" s="22"/>
      <c r="BF19" s="22"/>
      <c r="BG19" s="22"/>
      <c r="BH19" s="22"/>
      <c r="BI19" s="22"/>
      <c r="BJ19" s="22" t="s">
        <v>118</v>
      </c>
      <c r="BK19" t="s">
        <v>158</v>
      </c>
      <c r="BM19" s="22" t="s">
        <v>77</v>
      </c>
      <c r="BN19" s="22"/>
      <c r="BV19" t="s">
        <v>64</v>
      </c>
      <c r="BW19" t="s">
        <v>76</v>
      </c>
      <c r="BX19" t="s">
        <v>77</v>
      </c>
      <c r="BZ19" t="s">
        <v>201</v>
      </c>
      <c r="CB19" t="s">
        <v>77</v>
      </c>
      <c r="CD19" t="s">
        <v>77</v>
      </c>
    </row>
    <row r="20" spans="1:82" x14ac:dyDescent="0.25">
      <c r="A20">
        <v>1488</v>
      </c>
      <c r="B20" t="s">
        <v>59</v>
      </c>
      <c r="C20" t="s">
        <v>39</v>
      </c>
      <c r="D20" t="s">
        <v>211</v>
      </c>
      <c r="E20">
        <v>55000</v>
      </c>
      <c r="F20">
        <v>38843</v>
      </c>
      <c r="G20" t="s">
        <v>65</v>
      </c>
      <c r="H20">
        <f t="shared" si="0"/>
        <v>0</v>
      </c>
      <c r="I20">
        <v>1</v>
      </c>
      <c r="J20">
        <v>85</v>
      </c>
      <c r="K20">
        <v>10</v>
      </c>
      <c r="L20">
        <v>4</v>
      </c>
      <c r="M20">
        <v>388.43</v>
      </c>
      <c r="N20">
        <v>33016.550000000003</v>
      </c>
      <c r="O20">
        <v>3884.3</v>
      </c>
      <c r="P20">
        <v>1553.72</v>
      </c>
      <c r="Q20" t="s">
        <v>76</v>
      </c>
      <c r="S20">
        <v>48</v>
      </c>
      <c r="V20" t="s">
        <v>76</v>
      </c>
      <c r="W20" t="s">
        <v>89</v>
      </c>
      <c r="X20" t="s">
        <v>89</v>
      </c>
      <c r="Y20">
        <v>388.43</v>
      </c>
      <c r="Z20">
        <v>4</v>
      </c>
      <c r="AA20">
        <v>4</v>
      </c>
      <c r="AB20">
        <v>15</v>
      </c>
      <c r="AC20">
        <v>50</v>
      </c>
      <c r="AD20">
        <v>3</v>
      </c>
      <c r="AE20">
        <v>24</v>
      </c>
      <c r="AF20">
        <v>15.5372</v>
      </c>
      <c r="AG20">
        <v>15.5372</v>
      </c>
      <c r="AH20">
        <v>58.264499999999998</v>
      </c>
      <c r="AI20">
        <v>194.215</v>
      </c>
      <c r="AJ20">
        <v>11.652900000000001</v>
      </c>
      <c r="AK20">
        <v>93.223200000000006</v>
      </c>
      <c r="AL20" s="18" t="s">
        <v>76</v>
      </c>
      <c r="AN20" t="s">
        <v>64</v>
      </c>
      <c r="AO20">
        <v>15</v>
      </c>
      <c r="AP20">
        <v>3</v>
      </c>
      <c r="AQ20">
        <v>7</v>
      </c>
      <c r="AR20">
        <v>75</v>
      </c>
      <c r="AS20">
        <v>0</v>
      </c>
      <c r="AT20">
        <v>582.64499999999998</v>
      </c>
      <c r="AU20">
        <v>116.52900000000001</v>
      </c>
      <c r="AV20">
        <v>271.90100000000001</v>
      </c>
      <c r="AW20">
        <v>2913.2249999999999</v>
      </c>
      <c r="AX20">
        <v>0</v>
      </c>
      <c r="AY20" t="s">
        <v>76</v>
      </c>
      <c r="AZ20">
        <f t="shared" si="1"/>
        <v>3884.3</v>
      </c>
      <c r="BA20">
        <v>10</v>
      </c>
      <c r="BB20" t="s">
        <v>76</v>
      </c>
      <c r="BC20" s="22"/>
      <c r="BD20" s="22"/>
      <c r="BE20" s="22"/>
      <c r="BF20" s="22"/>
      <c r="BG20" s="22"/>
      <c r="BH20" s="22"/>
      <c r="BI20" s="22" t="s">
        <v>64</v>
      </c>
      <c r="BJ20" s="22" t="s">
        <v>76</v>
      </c>
      <c r="BK20" t="s">
        <v>158</v>
      </c>
      <c r="BM20" s="22" t="s">
        <v>89</v>
      </c>
      <c r="BN20" s="22">
        <v>0</v>
      </c>
      <c r="BV20" t="s">
        <v>64</v>
      </c>
      <c r="BW20" t="s">
        <v>76</v>
      </c>
      <c r="BX20" t="s">
        <v>89</v>
      </c>
      <c r="BY20">
        <v>200</v>
      </c>
      <c r="BZ20" t="s">
        <v>76</v>
      </c>
      <c r="CA20">
        <v>200</v>
      </c>
      <c r="CB20" t="s">
        <v>76</v>
      </c>
      <c r="CC20">
        <v>100</v>
      </c>
      <c r="CD20" t="s">
        <v>76</v>
      </c>
    </row>
    <row r="21" spans="1:82" x14ac:dyDescent="0.25">
      <c r="A21">
        <v>1491</v>
      </c>
      <c r="B21" t="s">
        <v>59</v>
      </c>
      <c r="C21" t="s">
        <v>39</v>
      </c>
      <c r="D21" t="s">
        <v>211</v>
      </c>
      <c r="E21">
        <v>10000</v>
      </c>
      <c r="F21">
        <v>12500</v>
      </c>
      <c r="G21" t="s">
        <v>65</v>
      </c>
      <c r="H21">
        <f t="shared" si="0"/>
        <v>0</v>
      </c>
      <c r="I21">
        <v>21.259842519685041</v>
      </c>
      <c r="J21">
        <v>78.740157480314963</v>
      </c>
      <c r="K21">
        <v>0</v>
      </c>
      <c r="L21">
        <v>0</v>
      </c>
      <c r="M21">
        <v>2657.48031496063</v>
      </c>
      <c r="N21">
        <v>9842.5196850393695</v>
      </c>
      <c r="O21">
        <v>0</v>
      </c>
      <c r="P21">
        <v>0</v>
      </c>
      <c r="Q21" t="s">
        <v>76</v>
      </c>
      <c r="R21" t="s">
        <v>64</v>
      </c>
      <c r="S21">
        <v>74</v>
      </c>
      <c r="V21" t="s">
        <v>76</v>
      </c>
      <c r="W21" t="s">
        <v>64</v>
      </c>
      <c r="X21" t="s">
        <v>64</v>
      </c>
      <c r="Z21" s="11"/>
      <c r="AA21" s="11"/>
      <c r="AB21" s="11"/>
      <c r="AC21" s="11"/>
      <c r="AD21" s="11"/>
      <c r="AE21" s="11"/>
      <c r="AF21" s="11"/>
      <c r="AG21" s="11"/>
      <c r="AH21" s="11"/>
      <c r="AI21" s="11"/>
      <c r="AJ21" s="11"/>
      <c r="AK21" s="11"/>
      <c r="AL21" s="11" t="s">
        <v>77</v>
      </c>
      <c r="AN21" t="s">
        <v>63</v>
      </c>
      <c r="AO21" s="11"/>
      <c r="AP21" s="11"/>
      <c r="AQ21" s="11"/>
      <c r="AR21" s="11"/>
      <c r="AS21" s="11"/>
      <c r="AT21" s="11"/>
      <c r="AU21" s="11"/>
      <c r="AV21" s="11"/>
      <c r="AW21" s="11"/>
      <c r="AX21" s="11"/>
      <c r="AY21" s="11" t="s">
        <v>77</v>
      </c>
      <c r="AZ21">
        <f t="shared" si="1"/>
        <v>0</v>
      </c>
      <c r="BB21" t="s">
        <v>77</v>
      </c>
      <c r="BC21" s="22"/>
      <c r="BD21" s="22"/>
      <c r="BE21" s="22"/>
      <c r="BF21" s="22"/>
      <c r="BG21" s="22"/>
      <c r="BH21" s="22"/>
      <c r="BI21" s="22" t="s">
        <v>64</v>
      </c>
      <c r="BJ21" s="22" t="s">
        <v>76</v>
      </c>
      <c r="BK21" t="s">
        <v>77</v>
      </c>
      <c r="BM21" s="22" t="s">
        <v>77</v>
      </c>
      <c r="BN21" s="22"/>
      <c r="BW21" t="s">
        <v>77</v>
      </c>
      <c r="BX21" t="s">
        <v>90</v>
      </c>
      <c r="BZ21" t="s">
        <v>76</v>
      </c>
      <c r="CB21" t="s">
        <v>77</v>
      </c>
      <c r="CD21" t="s">
        <v>77</v>
      </c>
    </row>
    <row r="22" spans="1:82" x14ac:dyDescent="0.25">
      <c r="A22">
        <v>1493</v>
      </c>
      <c r="B22" t="s">
        <v>59</v>
      </c>
      <c r="C22" t="s">
        <v>39</v>
      </c>
      <c r="D22" t="s">
        <v>211</v>
      </c>
      <c r="E22">
        <v>268638</v>
      </c>
      <c r="F22">
        <v>291012</v>
      </c>
      <c r="G22" t="s">
        <v>65</v>
      </c>
      <c r="H22">
        <f t="shared" si="0"/>
        <v>0</v>
      </c>
      <c r="I22">
        <v>1.5689247570868214</v>
      </c>
      <c r="J22">
        <v>96.701379520722256</v>
      </c>
      <c r="K22">
        <v>1.7296957221909246</v>
      </c>
      <c r="L22">
        <v>0</v>
      </c>
      <c r="M22">
        <v>4565.7593140935005</v>
      </c>
      <c r="N22">
        <v>281412.61857084424</v>
      </c>
      <c r="O22">
        <v>5033.6221150622532</v>
      </c>
      <c r="P22">
        <v>0</v>
      </c>
      <c r="Q22" t="s">
        <v>76</v>
      </c>
      <c r="R22" t="s">
        <v>64</v>
      </c>
      <c r="S22">
        <v>37</v>
      </c>
      <c r="T22">
        <v>11</v>
      </c>
      <c r="U22">
        <v>11</v>
      </c>
      <c r="V22" t="s">
        <v>76</v>
      </c>
      <c r="W22" t="s">
        <v>64</v>
      </c>
      <c r="X22" t="s">
        <v>64</v>
      </c>
      <c r="Z22" s="11"/>
      <c r="AA22" s="11"/>
      <c r="AB22" s="11"/>
      <c r="AC22" s="11"/>
      <c r="AD22" s="11"/>
      <c r="AE22" s="11"/>
      <c r="AF22" s="11"/>
      <c r="AG22" s="11"/>
      <c r="AH22" s="11"/>
      <c r="AI22" s="11"/>
      <c r="AJ22" s="11"/>
      <c r="AK22" s="11"/>
      <c r="AL22" s="11" t="s">
        <v>77</v>
      </c>
      <c r="AN22" t="s">
        <v>64</v>
      </c>
      <c r="AO22">
        <v>0</v>
      </c>
      <c r="AP22">
        <v>0</v>
      </c>
      <c r="AQ22">
        <v>0</v>
      </c>
      <c r="AR22">
        <v>100</v>
      </c>
      <c r="AS22">
        <v>0</v>
      </c>
      <c r="AT22">
        <v>0</v>
      </c>
      <c r="AU22">
        <v>0</v>
      </c>
      <c r="AV22">
        <v>0</v>
      </c>
      <c r="AW22">
        <v>5033.6221150622532</v>
      </c>
      <c r="AX22">
        <v>0</v>
      </c>
      <c r="AY22" t="s">
        <v>76</v>
      </c>
      <c r="AZ22">
        <f t="shared" si="1"/>
        <v>5033.6221150622532</v>
      </c>
      <c r="BB22" t="s">
        <v>77</v>
      </c>
      <c r="BC22" s="22"/>
      <c r="BD22" s="22"/>
      <c r="BE22" s="22"/>
      <c r="BF22" s="22"/>
      <c r="BG22" s="22">
        <v>0</v>
      </c>
      <c r="BH22" s="22">
        <v>87.52</v>
      </c>
      <c r="BI22" s="22"/>
      <c r="BJ22" s="22" t="s">
        <v>118</v>
      </c>
      <c r="BK22" t="s">
        <v>63</v>
      </c>
      <c r="BM22" s="22" t="s">
        <v>77</v>
      </c>
      <c r="BN22" s="22"/>
      <c r="BV22" t="s">
        <v>64</v>
      </c>
      <c r="BW22" t="s">
        <v>65</v>
      </c>
      <c r="BX22" t="s">
        <v>90</v>
      </c>
      <c r="BZ22" t="s">
        <v>76</v>
      </c>
      <c r="CB22" t="s">
        <v>77</v>
      </c>
      <c r="CD22" t="s">
        <v>77</v>
      </c>
    </row>
    <row r="23" spans="1:82" x14ac:dyDescent="0.25">
      <c r="A23">
        <v>1496</v>
      </c>
      <c r="B23" t="s">
        <v>59</v>
      </c>
      <c r="C23" t="s">
        <v>39</v>
      </c>
      <c r="D23" t="s">
        <v>211</v>
      </c>
      <c r="E23">
        <v>17000</v>
      </c>
      <c r="F23">
        <v>12000</v>
      </c>
      <c r="G23" t="s">
        <v>65</v>
      </c>
      <c r="H23">
        <f t="shared" si="0"/>
        <v>0</v>
      </c>
      <c r="I23">
        <v>6</v>
      </c>
      <c r="J23">
        <v>90</v>
      </c>
      <c r="K23">
        <v>1</v>
      </c>
      <c r="L23">
        <v>3</v>
      </c>
      <c r="M23">
        <v>720</v>
      </c>
      <c r="N23">
        <v>10800</v>
      </c>
      <c r="O23">
        <v>120</v>
      </c>
      <c r="P23">
        <v>360</v>
      </c>
      <c r="Q23" t="s">
        <v>76</v>
      </c>
      <c r="S23">
        <v>47</v>
      </c>
      <c r="T23">
        <v>20</v>
      </c>
      <c r="U23">
        <v>35</v>
      </c>
      <c r="V23" t="s">
        <v>76</v>
      </c>
      <c r="W23" t="s">
        <v>64</v>
      </c>
      <c r="X23" t="s">
        <v>64</v>
      </c>
      <c r="Y23">
        <v>720</v>
      </c>
      <c r="Z23">
        <v>10</v>
      </c>
      <c r="AA23">
        <v>5</v>
      </c>
      <c r="AB23">
        <v>40</v>
      </c>
      <c r="AC23">
        <v>12.5</v>
      </c>
      <c r="AD23">
        <v>12.5</v>
      </c>
      <c r="AE23">
        <v>20</v>
      </c>
      <c r="AF23">
        <v>72</v>
      </c>
      <c r="AG23">
        <v>36</v>
      </c>
      <c r="AH23">
        <v>288</v>
      </c>
      <c r="AI23">
        <v>90</v>
      </c>
      <c r="AJ23">
        <v>90</v>
      </c>
      <c r="AK23">
        <v>144</v>
      </c>
      <c r="AL23" s="18" t="s">
        <v>76</v>
      </c>
      <c r="AN23" t="s">
        <v>64</v>
      </c>
      <c r="AO23" s="11"/>
      <c r="AP23" s="11"/>
      <c r="AQ23" s="11"/>
      <c r="AR23" s="11"/>
      <c r="AS23" s="11"/>
      <c r="AT23" s="11"/>
      <c r="AU23" s="11"/>
      <c r="AV23" s="11"/>
      <c r="AW23" s="11"/>
      <c r="AX23" s="11"/>
      <c r="AY23" s="11" t="s">
        <v>77</v>
      </c>
      <c r="AZ23">
        <f t="shared" si="1"/>
        <v>0</v>
      </c>
      <c r="BB23" t="s">
        <v>77</v>
      </c>
      <c r="BC23" s="22"/>
      <c r="BD23" s="22"/>
      <c r="BE23" s="22"/>
      <c r="BF23" s="22"/>
      <c r="BG23" s="22"/>
      <c r="BH23" s="22"/>
      <c r="BI23" s="22"/>
      <c r="BJ23" s="22" t="s">
        <v>77</v>
      </c>
      <c r="BK23" t="s">
        <v>77</v>
      </c>
      <c r="BM23" s="22" t="s">
        <v>77</v>
      </c>
      <c r="BN23" s="22"/>
      <c r="BW23" t="s">
        <v>77</v>
      </c>
      <c r="BX23" t="s">
        <v>89</v>
      </c>
      <c r="BY23">
        <v>2000</v>
      </c>
      <c r="BZ23" t="s">
        <v>76</v>
      </c>
      <c r="CA23">
        <v>2000</v>
      </c>
      <c r="CB23" t="s">
        <v>76</v>
      </c>
      <c r="CD23" t="s">
        <v>76</v>
      </c>
    </row>
    <row r="24" spans="1:82" x14ac:dyDescent="0.25">
      <c r="A24">
        <v>1497</v>
      </c>
      <c r="B24" t="s">
        <v>58</v>
      </c>
      <c r="C24" t="s">
        <v>39</v>
      </c>
      <c r="D24" t="s">
        <v>211</v>
      </c>
      <c r="E24">
        <v>22500</v>
      </c>
      <c r="F24">
        <v>17000</v>
      </c>
      <c r="G24" t="s">
        <v>65</v>
      </c>
      <c r="H24">
        <f t="shared" si="0"/>
        <v>0</v>
      </c>
      <c r="I24">
        <v>4.4117647058823533</v>
      </c>
      <c r="J24">
        <v>83.529411764705884</v>
      </c>
      <c r="K24">
        <v>0.88235294117647056</v>
      </c>
      <c r="L24">
        <v>11.176470588235295</v>
      </c>
      <c r="M24">
        <v>750</v>
      </c>
      <c r="N24">
        <v>14200</v>
      </c>
      <c r="O24">
        <v>150</v>
      </c>
      <c r="P24">
        <v>1900.0000000000002</v>
      </c>
      <c r="Q24" t="s">
        <v>76</v>
      </c>
      <c r="S24">
        <v>37</v>
      </c>
      <c r="T24">
        <v>20</v>
      </c>
      <c r="U24">
        <v>20</v>
      </c>
      <c r="V24" t="s">
        <v>76</v>
      </c>
      <c r="W24" t="s">
        <v>89</v>
      </c>
      <c r="X24" t="s">
        <v>89</v>
      </c>
      <c r="Y24">
        <v>750</v>
      </c>
      <c r="Z24">
        <v>0</v>
      </c>
      <c r="AA24">
        <v>4</v>
      </c>
      <c r="AB24">
        <v>66.666666666666657</v>
      </c>
      <c r="AC24">
        <v>6.666666666666667</v>
      </c>
      <c r="AD24">
        <v>0</v>
      </c>
      <c r="AE24">
        <v>22.666666666666664</v>
      </c>
      <c r="AF24">
        <v>0</v>
      </c>
      <c r="AG24">
        <v>30</v>
      </c>
      <c r="AH24">
        <v>499.99999999999994</v>
      </c>
      <c r="AI24">
        <v>50</v>
      </c>
      <c r="AJ24">
        <v>0</v>
      </c>
      <c r="AK24">
        <v>170</v>
      </c>
      <c r="AL24" s="18" t="s">
        <v>76</v>
      </c>
      <c r="AN24" t="s">
        <v>64</v>
      </c>
      <c r="AO24">
        <v>13.333333333333334</v>
      </c>
      <c r="AP24">
        <v>6.666666666666667</v>
      </c>
      <c r="AQ24">
        <v>33.333333333333329</v>
      </c>
      <c r="AR24">
        <v>46.666666666666664</v>
      </c>
      <c r="AS24">
        <v>0</v>
      </c>
      <c r="AT24">
        <v>20</v>
      </c>
      <c r="AU24">
        <v>10</v>
      </c>
      <c r="AV24">
        <v>49.999999999999993</v>
      </c>
      <c r="AW24">
        <v>70</v>
      </c>
      <c r="AX24">
        <v>0</v>
      </c>
      <c r="AY24" t="s">
        <v>76</v>
      </c>
      <c r="AZ24">
        <f t="shared" si="1"/>
        <v>150</v>
      </c>
      <c r="BA24">
        <v>30</v>
      </c>
      <c r="BB24" t="s">
        <v>76</v>
      </c>
      <c r="BC24" s="22"/>
      <c r="BD24" s="22"/>
      <c r="BE24" s="22"/>
      <c r="BF24" s="22"/>
      <c r="BG24" s="22"/>
      <c r="BH24" s="22"/>
      <c r="BI24" s="22"/>
      <c r="BJ24" s="22" t="s">
        <v>77</v>
      </c>
      <c r="BK24" t="s">
        <v>63</v>
      </c>
      <c r="BM24" s="22" t="s">
        <v>77</v>
      </c>
      <c r="BN24" s="22"/>
      <c r="BW24" t="s">
        <v>77</v>
      </c>
      <c r="BX24" t="s">
        <v>90</v>
      </c>
      <c r="BZ24" t="s">
        <v>76</v>
      </c>
      <c r="CB24" t="s">
        <v>77</v>
      </c>
      <c r="CD24" t="s">
        <v>77</v>
      </c>
    </row>
    <row r="25" spans="1:82" x14ac:dyDescent="0.25">
      <c r="A25">
        <v>1666</v>
      </c>
      <c r="B25" t="s">
        <v>58</v>
      </c>
      <c r="C25" t="s">
        <v>45</v>
      </c>
      <c r="D25" t="s">
        <v>211</v>
      </c>
      <c r="E25">
        <v>24000</v>
      </c>
      <c r="F25">
        <v>20290.8</v>
      </c>
      <c r="G25" t="s">
        <v>65</v>
      </c>
      <c r="H25">
        <f t="shared" si="0"/>
        <v>0</v>
      </c>
      <c r="I25">
        <v>0</v>
      </c>
      <c r="J25">
        <v>98.611193250142932</v>
      </c>
      <c r="K25">
        <v>1.3888067498570782</v>
      </c>
      <c r="L25">
        <v>0</v>
      </c>
      <c r="M25">
        <v>0</v>
      </c>
      <c r="N25">
        <v>20009.000000000004</v>
      </c>
      <c r="O25">
        <v>281.8</v>
      </c>
      <c r="P25">
        <v>0</v>
      </c>
      <c r="Q25" t="s">
        <v>76</v>
      </c>
      <c r="S25">
        <v>60</v>
      </c>
      <c r="T25">
        <v>45</v>
      </c>
      <c r="U25">
        <v>60</v>
      </c>
      <c r="V25" t="s">
        <v>76</v>
      </c>
      <c r="W25" t="s">
        <v>89</v>
      </c>
      <c r="X25" t="s">
        <v>89</v>
      </c>
      <c r="Y25">
        <v>0</v>
      </c>
      <c r="Z25" s="11"/>
      <c r="AA25" s="11"/>
      <c r="AB25" s="11"/>
      <c r="AC25" s="11"/>
      <c r="AD25" s="11"/>
      <c r="AE25" s="11"/>
      <c r="AF25" s="11"/>
      <c r="AG25" s="11"/>
      <c r="AH25" s="11"/>
      <c r="AI25" s="11"/>
      <c r="AJ25" s="11"/>
      <c r="AK25" s="11"/>
      <c r="AL25" s="11" t="s">
        <v>77</v>
      </c>
      <c r="AN25" t="s">
        <v>64</v>
      </c>
      <c r="AO25" s="11"/>
      <c r="AP25" s="11"/>
      <c r="AQ25" s="11"/>
      <c r="AR25" s="11"/>
      <c r="AS25" s="11"/>
      <c r="AT25" s="11"/>
      <c r="AU25" s="11"/>
      <c r="AV25" s="11"/>
      <c r="AW25" s="11"/>
      <c r="AX25" s="11"/>
      <c r="AY25" s="11" t="s">
        <v>77</v>
      </c>
      <c r="AZ25">
        <f t="shared" si="1"/>
        <v>0</v>
      </c>
      <c r="BA25">
        <v>0</v>
      </c>
      <c r="BB25" t="s">
        <v>118</v>
      </c>
      <c r="BC25" s="22">
        <v>20</v>
      </c>
      <c r="BD25" s="22">
        <v>150.30000000000001</v>
      </c>
      <c r="BE25" s="22">
        <v>20</v>
      </c>
      <c r="BF25" s="22">
        <v>150.30000000000001</v>
      </c>
      <c r="BG25" s="22"/>
      <c r="BH25" s="22"/>
      <c r="BI25" s="22"/>
      <c r="BJ25" s="22" t="s">
        <v>76</v>
      </c>
      <c r="BK25" t="s">
        <v>158</v>
      </c>
      <c r="BM25" s="22" t="s">
        <v>77</v>
      </c>
      <c r="BN25" s="22"/>
      <c r="BQ25">
        <v>1.5</v>
      </c>
      <c r="BR25">
        <v>4.5999999999999996</v>
      </c>
      <c r="BW25" t="s">
        <v>76</v>
      </c>
      <c r="BX25" t="s">
        <v>90</v>
      </c>
      <c r="BZ25" t="s">
        <v>76</v>
      </c>
      <c r="CB25" t="s">
        <v>77</v>
      </c>
      <c r="CD25" t="s">
        <v>77</v>
      </c>
    </row>
    <row r="26" spans="1:82" x14ac:dyDescent="0.25">
      <c r="A26">
        <v>1680</v>
      </c>
      <c r="B26" t="s">
        <v>58</v>
      </c>
      <c r="C26" t="s">
        <v>45</v>
      </c>
      <c r="D26" t="s">
        <v>211</v>
      </c>
      <c r="E26">
        <v>15000</v>
      </c>
      <c r="F26">
        <v>24500</v>
      </c>
      <c r="G26" t="s">
        <v>65</v>
      </c>
      <c r="H26">
        <f t="shared" si="0"/>
        <v>0</v>
      </c>
      <c r="I26">
        <v>0</v>
      </c>
      <c r="J26">
        <v>99.91836734693878</v>
      </c>
      <c r="K26">
        <v>8.1632653061224497E-2</v>
      </c>
      <c r="L26">
        <v>0</v>
      </c>
      <c r="M26">
        <v>0</v>
      </c>
      <c r="N26">
        <v>24480</v>
      </c>
      <c r="O26">
        <v>20.000000000000004</v>
      </c>
      <c r="P26">
        <v>0</v>
      </c>
      <c r="Q26" t="s">
        <v>76</v>
      </c>
      <c r="S26">
        <v>62</v>
      </c>
      <c r="T26">
        <v>62</v>
      </c>
      <c r="V26" t="s">
        <v>76</v>
      </c>
      <c r="W26" t="s">
        <v>89</v>
      </c>
      <c r="X26" t="s">
        <v>89</v>
      </c>
      <c r="Y26">
        <v>0</v>
      </c>
      <c r="Z26" s="11"/>
      <c r="AA26" s="11"/>
      <c r="AB26" s="11"/>
      <c r="AC26" s="11"/>
      <c r="AD26" s="11"/>
      <c r="AE26" s="11"/>
      <c r="AF26" s="11"/>
      <c r="AG26" s="11"/>
      <c r="AH26" s="11"/>
      <c r="AI26" s="11"/>
      <c r="AJ26" s="11"/>
      <c r="AK26" s="11"/>
      <c r="AL26" s="11" t="s">
        <v>77</v>
      </c>
      <c r="AN26" t="s">
        <v>64</v>
      </c>
      <c r="AO26">
        <v>0</v>
      </c>
      <c r="AP26">
        <v>0</v>
      </c>
      <c r="AQ26">
        <v>0</v>
      </c>
      <c r="AR26">
        <v>100</v>
      </c>
      <c r="AS26">
        <v>0</v>
      </c>
      <c r="AT26">
        <v>0</v>
      </c>
      <c r="AU26">
        <v>0</v>
      </c>
      <c r="AV26">
        <v>0</v>
      </c>
      <c r="AW26">
        <v>20.000000000000004</v>
      </c>
      <c r="AX26">
        <v>0</v>
      </c>
      <c r="AY26" t="s">
        <v>76</v>
      </c>
      <c r="AZ26">
        <f t="shared" si="1"/>
        <v>20.000000000000004</v>
      </c>
      <c r="BA26">
        <v>20</v>
      </c>
      <c r="BB26" t="s">
        <v>76</v>
      </c>
      <c r="BC26" s="22"/>
      <c r="BD26" s="22"/>
      <c r="BE26" s="22"/>
      <c r="BF26" s="22"/>
      <c r="BG26" s="22"/>
      <c r="BH26" s="22"/>
      <c r="BI26" s="22"/>
      <c r="BJ26" s="22" t="s">
        <v>77</v>
      </c>
      <c r="BK26" t="s">
        <v>63</v>
      </c>
      <c r="BM26" s="22" t="s">
        <v>77</v>
      </c>
      <c r="BN26" s="22"/>
      <c r="BW26" t="s">
        <v>77</v>
      </c>
      <c r="BX26" t="s">
        <v>90</v>
      </c>
      <c r="BZ26" t="s">
        <v>76</v>
      </c>
      <c r="CB26" t="s">
        <v>77</v>
      </c>
      <c r="CD26" t="s">
        <v>77</v>
      </c>
    </row>
    <row r="27" spans="1:82" x14ac:dyDescent="0.25">
      <c r="A27">
        <v>1684</v>
      </c>
      <c r="B27" t="s">
        <v>58</v>
      </c>
      <c r="C27" t="s">
        <v>45</v>
      </c>
      <c r="D27" t="s">
        <v>211</v>
      </c>
      <c r="E27">
        <v>50000</v>
      </c>
      <c r="F27">
        <v>49566</v>
      </c>
      <c r="G27" t="s">
        <v>65</v>
      </c>
      <c r="H27">
        <f t="shared" si="0"/>
        <v>0</v>
      </c>
      <c r="I27">
        <v>0</v>
      </c>
      <c r="J27">
        <v>59</v>
      </c>
      <c r="K27">
        <v>0.1</v>
      </c>
      <c r="L27">
        <v>40.9</v>
      </c>
      <c r="M27">
        <v>0</v>
      </c>
      <c r="N27">
        <v>29243.940000000002</v>
      </c>
      <c r="O27">
        <v>49.566000000000003</v>
      </c>
      <c r="P27">
        <v>20272.493999999999</v>
      </c>
      <c r="Q27" t="s">
        <v>76</v>
      </c>
      <c r="S27">
        <v>58</v>
      </c>
      <c r="T27">
        <v>12</v>
      </c>
      <c r="U27">
        <v>12</v>
      </c>
      <c r="V27" t="s">
        <v>76</v>
      </c>
      <c r="W27" t="s">
        <v>89</v>
      </c>
      <c r="X27" t="s">
        <v>90</v>
      </c>
      <c r="Y27">
        <v>0</v>
      </c>
      <c r="Z27" s="11"/>
      <c r="AA27" s="11"/>
      <c r="AB27" s="11"/>
      <c r="AC27" s="11"/>
      <c r="AD27" s="11"/>
      <c r="AE27" s="11"/>
      <c r="AF27" s="11"/>
      <c r="AG27" s="11"/>
      <c r="AH27" s="11"/>
      <c r="AI27" s="11"/>
      <c r="AJ27" s="11"/>
      <c r="AK27" s="11"/>
      <c r="AL27" s="11" t="s">
        <v>77</v>
      </c>
      <c r="AN27" t="s">
        <v>64</v>
      </c>
      <c r="AO27">
        <v>15</v>
      </c>
      <c r="AP27">
        <v>20</v>
      </c>
      <c r="AQ27">
        <v>5</v>
      </c>
      <c r="AR27">
        <v>60</v>
      </c>
      <c r="AS27">
        <v>0</v>
      </c>
      <c r="AT27">
        <v>7.4348999999999998</v>
      </c>
      <c r="AU27">
        <v>9.9132000000000016</v>
      </c>
      <c r="AV27">
        <v>2.4783000000000004</v>
      </c>
      <c r="AW27">
        <v>29.739599999999999</v>
      </c>
      <c r="AX27">
        <v>0</v>
      </c>
      <c r="AY27" t="s">
        <v>76</v>
      </c>
      <c r="AZ27">
        <f t="shared" si="1"/>
        <v>49.566000000000003</v>
      </c>
      <c r="BA27">
        <v>0</v>
      </c>
      <c r="BB27" t="s">
        <v>118</v>
      </c>
      <c r="BC27" s="22"/>
      <c r="BD27" s="22"/>
      <c r="BE27" s="22"/>
      <c r="BF27" s="22"/>
      <c r="BG27" s="22"/>
      <c r="BH27" s="22"/>
      <c r="BI27" s="22"/>
      <c r="BJ27" s="22" t="s">
        <v>77</v>
      </c>
      <c r="BK27" t="s">
        <v>63</v>
      </c>
      <c r="BM27" s="22" t="s">
        <v>77</v>
      </c>
      <c r="BN27" s="22"/>
      <c r="BW27" t="s">
        <v>77</v>
      </c>
      <c r="BX27" t="s">
        <v>90</v>
      </c>
      <c r="BZ27" t="s">
        <v>76</v>
      </c>
      <c r="CB27" t="s">
        <v>77</v>
      </c>
      <c r="CD27" t="s">
        <v>77</v>
      </c>
    </row>
    <row r="28" spans="1:82" x14ac:dyDescent="0.25">
      <c r="A28">
        <v>1686</v>
      </c>
      <c r="B28" t="s">
        <v>59</v>
      </c>
      <c r="C28" t="s">
        <v>45</v>
      </c>
      <c r="D28" t="s">
        <v>211</v>
      </c>
      <c r="E28">
        <v>50000</v>
      </c>
      <c r="F28">
        <f>SUM(M28:P28)</f>
        <v>39758</v>
      </c>
      <c r="G28" t="s">
        <v>65</v>
      </c>
      <c r="H28">
        <f t="shared" si="0"/>
        <v>0</v>
      </c>
      <c r="I28">
        <f>(M28/$F28)*100</f>
        <v>0.95326726696513919</v>
      </c>
      <c r="J28">
        <f>(N28/$F28)*100</f>
        <v>99.046732733034858</v>
      </c>
      <c r="K28">
        <v>0</v>
      </c>
      <c r="L28">
        <v>0</v>
      </c>
      <c r="M28">
        <v>379.00000000000006</v>
      </c>
      <c r="N28">
        <v>39379</v>
      </c>
      <c r="O28">
        <v>0</v>
      </c>
      <c r="P28">
        <v>0</v>
      </c>
      <c r="Q28" t="s">
        <v>76</v>
      </c>
      <c r="S28">
        <v>49</v>
      </c>
      <c r="T28">
        <v>40</v>
      </c>
      <c r="V28" t="s">
        <v>76</v>
      </c>
      <c r="W28" t="s">
        <v>64</v>
      </c>
      <c r="X28" t="s">
        <v>64</v>
      </c>
      <c r="Y28">
        <v>379.00000000000006</v>
      </c>
      <c r="Z28">
        <v>0</v>
      </c>
      <c r="AA28">
        <v>100</v>
      </c>
      <c r="AB28">
        <v>0</v>
      </c>
      <c r="AC28">
        <v>0</v>
      </c>
      <c r="AD28">
        <v>0</v>
      </c>
      <c r="AE28">
        <v>0</v>
      </c>
      <c r="AF28">
        <v>0</v>
      </c>
      <c r="AG28">
        <v>379.00000000000006</v>
      </c>
      <c r="AH28">
        <v>0</v>
      </c>
      <c r="AI28">
        <v>0</v>
      </c>
      <c r="AJ28">
        <v>0</v>
      </c>
      <c r="AK28">
        <v>0</v>
      </c>
      <c r="AL28" s="18" t="s">
        <v>76</v>
      </c>
      <c r="AN28" t="s">
        <v>134</v>
      </c>
      <c r="AO28" s="11"/>
      <c r="AP28" s="11"/>
      <c r="AQ28" s="11"/>
      <c r="AR28" s="11"/>
      <c r="AS28" s="11"/>
      <c r="AT28" s="11"/>
      <c r="AU28" s="11"/>
      <c r="AV28" s="11"/>
      <c r="AW28" s="11"/>
      <c r="AX28" s="11"/>
      <c r="AY28" s="11" t="s">
        <v>77</v>
      </c>
      <c r="AZ28">
        <f t="shared" si="1"/>
        <v>0</v>
      </c>
      <c r="BB28" t="s">
        <v>77</v>
      </c>
      <c r="BC28" s="22"/>
      <c r="BD28" s="22"/>
      <c r="BE28" s="22"/>
      <c r="BF28" s="22"/>
      <c r="BG28" s="22"/>
      <c r="BH28" s="22"/>
      <c r="BI28" s="22"/>
      <c r="BJ28" s="22" t="s">
        <v>77</v>
      </c>
      <c r="BK28" t="s">
        <v>77</v>
      </c>
      <c r="BM28" s="22" t="s">
        <v>77</v>
      </c>
      <c r="BN28" s="22"/>
      <c r="BW28" t="s">
        <v>77</v>
      </c>
      <c r="BX28" t="s">
        <v>77</v>
      </c>
      <c r="BZ28" t="s">
        <v>201</v>
      </c>
      <c r="CB28" t="s">
        <v>77</v>
      </c>
      <c r="CD28" t="s">
        <v>77</v>
      </c>
    </row>
    <row r="29" spans="1:82" x14ac:dyDescent="0.25">
      <c r="A29">
        <v>1691</v>
      </c>
      <c r="B29" t="s">
        <v>59</v>
      </c>
      <c r="C29" t="s">
        <v>45</v>
      </c>
      <c r="D29" t="s">
        <v>211</v>
      </c>
      <c r="E29">
        <v>162000</v>
      </c>
      <c r="F29">
        <v>132000</v>
      </c>
      <c r="G29" t="s">
        <v>65</v>
      </c>
      <c r="H29">
        <f t="shared" si="0"/>
        <v>0</v>
      </c>
      <c r="I29">
        <v>0</v>
      </c>
      <c r="J29">
        <v>81.481481481481481</v>
      </c>
      <c r="K29">
        <v>0</v>
      </c>
      <c r="L29">
        <v>18.518518518518519</v>
      </c>
      <c r="M29">
        <v>0</v>
      </c>
      <c r="N29">
        <v>107555.55555555556</v>
      </c>
      <c r="O29">
        <v>0</v>
      </c>
      <c r="P29">
        <v>24444.444444444445</v>
      </c>
      <c r="Q29" t="s">
        <v>76</v>
      </c>
      <c r="R29" t="s">
        <v>64</v>
      </c>
      <c r="S29">
        <v>54</v>
      </c>
      <c r="U29">
        <v>54</v>
      </c>
      <c r="V29" t="s">
        <v>76</v>
      </c>
      <c r="W29" t="s">
        <v>64</v>
      </c>
      <c r="X29" t="s">
        <v>64</v>
      </c>
      <c r="Y29">
        <v>0</v>
      </c>
      <c r="Z29" s="11"/>
      <c r="AA29" s="11"/>
      <c r="AB29" s="11"/>
      <c r="AC29" s="11"/>
      <c r="AD29" s="11"/>
      <c r="AE29" s="11"/>
      <c r="AF29" s="11"/>
      <c r="AG29" s="11"/>
      <c r="AH29" s="11"/>
      <c r="AI29" s="11"/>
      <c r="AJ29" s="11"/>
      <c r="AK29" s="11"/>
      <c r="AL29" s="11" t="s">
        <v>77</v>
      </c>
      <c r="AN29" t="s">
        <v>64</v>
      </c>
      <c r="AO29" s="11"/>
      <c r="AP29" s="11"/>
      <c r="AQ29" s="11"/>
      <c r="AR29" s="11"/>
      <c r="AS29" s="11"/>
      <c r="AT29" s="11"/>
      <c r="AU29" s="11"/>
      <c r="AV29" s="11"/>
      <c r="AW29" s="11"/>
      <c r="AX29" s="11"/>
      <c r="AY29" s="11" t="s">
        <v>77</v>
      </c>
      <c r="AZ29">
        <f t="shared" si="1"/>
        <v>0</v>
      </c>
      <c r="BB29" t="s">
        <v>77</v>
      </c>
      <c r="BC29" s="22"/>
      <c r="BD29" s="22"/>
      <c r="BE29" s="22"/>
      <c r="BF29" s="22"/>
      <c r="BG29" s="22"/>
      <c r="BH29" s="22"/>
      <c r="BI29" s="22" t="s">
        <v>64</v>
      </c>
      <c r="BJ29" s="22" t="s">
        <v>76</v>
      </c>
      <c r="BK29" t="s">
        <v>63</v>
      </c>
      <c r="BM29" s="22" t="s">
        <v>77</v>
      </c>
      <c r="BN29" s="22"/>
      <c r="BW29" t="s">
        <v>77</v>
      </c>
      <c r="BX29" t="s">
        <v>90</v>
      </c>
      <c r="BZ29" t="s">
        <v>76</v>
      </c>
      <c r="CB29" t="s">
        <v>77</v>
      </c>
      <c r="CD29" t="s">
        <v>77</v>
      </c>
    </row>
    <row r="30" spans="1:82" x14ac:dyDescent="0.25">
      <c r="A30">
        <v>1861</v>
      </c>
      <c r="B30" t="s">
        <v>59</v>
      </c>
      <c r="C30" t="s">
        <v>49</v>
      </c>
      <c r="D30" t="s">
        <v>211</v>
      </c>
      <c r="E30">
        <v>3600</v>
      </c>
      <c r="F30">
        <v>2385</v>
      </c>
      <c r="G30" t="s">
        <v>65</v>
      </c>
      <c r="H30">
        <f t="shared" si="0"/>
        <v>0</v>
      </c>
      <c r="I30">
        <v>15</v>
      </c>
      <c r="J30">
        <v>85</v>
      </c>
      <c r="K30">
        <v>0</v>
      </c>
      <c r="L30">
        <v>0</v>
      </c>
      <c r="M30">
        <v>357.75</v>
      </c>
      <c r="N30">
        <v>2027.25</v>
      </c>
      <c r="O30">
        <v>0</v>
      </c>
      <c r="P30">
        <v>0</v>
      </c>
      <c r="Q30" t="s">
        <v>76</v>
      </c>
      <c r="V30" t="s">
        <v>77</v>
      </c>
      <c r="W30" t="s">
        <v>89</v>
      </c>
      <c r="X30" t="s">
        <v>89</v>
      </c>
      <c r="Y30">
        <v>357.75</v>
      </c>
      <c r="Z30">
        <v>10</v>
      </c>
      <c r="AA30">
        <v>2</v>
      </c>
      <c r="AB30">
        <v>3</v>
      </c>
      <c r="AC30">
        <v>8</v>
      </c>
      <c r="AD30">
        <v>70</v>
      </c>
      <c r="AE30">
        <v>7</v>
      </c>
      <c r="AF30">
        <v>35.774999999999999</v>
      </c>
      <c r="AG30">
        <v>7.1550000000000002</v>
      </c>
      <c r="AH30">
        <v>10.7325</v>
      </c>
      <c r="AI30">
        <v>28.62</v>
      </c>
      <c r="AJ30">
        <v>250.42500000000001</v>
      </c>
      <c r="AK30">
        <v>25.0425</v>
      </c>
      <c r="AL30" s="18" t="s">
        <v>76</v>
      </c>
      <c r="AN30" t="s">
        <v>134</v>
      </c>
      <c r="AO30" s="11"/>
      <c r="AP30" s="11"/>
      <c r="AQ30" s="11"/>
      <c r="AR30" s="11"/>
      <c r="AS30" s="11"/>
      <c r="AT30" s="11"/>
      <c r="AU30" s="11"/>
      <c r="AV30" s="11"/>
      <c r="AW30" s="11"/>
      <c r="AX30" s="11"/>
      <c r="AY30" s="11" t="s">
        <v>77</v>
      </c>
      <c r="AZ30">
        <f t="shared" si="1"/>
        <v>0</v>
      </c>
      <c r="BB30" t="s">
        <v>77</v>
      </c>
      <c r="BC30" s="22"/>
      <c r="BD30" s="22"/>
      <c r="BE30" s="22"/>
      <c r="BF30" s="22"/>
      <c r="BG30" s="22"/>
      <c r="BH30" s="22"/>
      <c r="BI30" s="22"/>
      <c r="BJ30" s="22" t="s">
        <v>77</v>
      </c>
      <c r="BK30" t="s">
        <v>77</v>
      </c>
      <c r="BM30" s="22" t="s">
        <v>77</v>
      </c>
      <c r="BN30" s="22"/>
      <c r="BW30" t="s">
        <v>77</v>
      </c>
      <c r="BX30" t="s">
        <v>63</v>
      </c>
      <c r="BZ30" t="s">
        <v>76</v>
      </c>
      <c r="CB30" t="s">
        <v>77</v>
      </c>
      <c r="CD30" t="s">
        <v>77</v>
      </c>
    </row>
    <row r="31" spans="1:82" x14ac:dyDescent="0.25">
      <c r="A31">
        <v>2014</v>
      </c>
      <c r="B31" t="s">
        <v>59</v>
      </c>
      <c r="C31" t="s">
        <v>45</v>
      </c>
      <c r="D31" t="s">
        <v>211</v>
      </c>
      <c r="E31">
        <v>29000</v>
      </c>
      <c r="F31">
        <f>SUM(M31:P31)</f>
        <v>21209</v>
      </c>
      <c r="G31" t="s">
        <v>65</v>
      </c>
      <c r="H31">
        <f t="shared" si="0"/>
        <v>0</v>
      </c>
      <c r="I31">
        <f>(M31/$F31)*100</f>
        <v>17.954641897307745</v>
      </c>
      <c r="J31">
        <f t="shared" ref="J31:L31" si="2">(N31/$F31)*100</f>
        <v>74.817294544768714</v>
      </c>
      <c r="K31">
        <f t="shared" si="2"/>
        <v>0</v>
      </c>
      <c r="L31">
        <f t="shared" si="2"/>
        <v>7.2280635579235222</v>
      </c>
      <c r="M31">
        <v>3808</v>
      </c>
      <c r="N31">
        <v>15867.999999999998</v>
      </c>
      <c r="O31">
        <v>0</v>
      </c>
      <c r="P31">
        <v>1533</v>
      </c>
      <c r="Q31" t="s">
        <v>76</v>
      </c>
      <c r="S31">
        <v>60</v>
      </c>
      <c r="V31" t="s">
        <v>76</v>
      </c>
      <c r="W31" t="s">
        <v>89</v>
      </c>
      <c r="X31" t="s">
        <v>89</v>
      </c>
      <c r="Y31">
        <v>3808</v>
      </c>
      <c r="Z31">
        <v>10</v>
      </c>
      <c r="AA31">
        <v>0</v>
      </c>
      <c r="AB31">
        <v>75</v>
      </c>
      <c r="AC31">
        <v>5</v>
      </c>
      <c r="AD31">
        <v>0</v>
      </c>
      <c r="AE31">
        <v>10</v>
      </c>
      <c r="AF31">
        <v>380.8</v>
      </c>
      <c r="AG31">
        <v>0</v>
      </c>
      <c r="AH31">
        <v>2856</v>
      </c>
      <c r="AI31">
        <v>190.4</v>
      </c>
      <c r="AJ31">
        <v>0</v>
      </c>
      <c r="AK31">
        <v>380.8</v>
      </c>
      <c r="AL31" s="18" t="s">
        <v>76</v>
      </c>
      <c r="AN31" t="s">
        <v>63</v>
      </c>
      <c r="AO31" s="11"/>
      <c r="AP31" s="11"/>
      <c r="AQ31" s="11"/>
      <c r="AR31" s="11"/>
      <c r="AS31" s="11"/>
      <c r="AT31" s="11"/>
      <c r="AU31" s="11"/>
      <c r="AV31" s="11"/>
      <c r="AW31" s="11"/>
      <c r="AX31" s="11"/>
      <c r="AY31" s="11" t="s">
        <v>77</v>
      </c>
      <c r="AZ31">
        <f t="shared" si="1"/>
        <v>0</v>
      </c>
      <c r="BB31" t="s">
        <v>77</v>
      </c>
      <c r="BC31" s="22"/>
      <c r="BD31" s="22"/>
      <c r="BE31" s="22"/>
      <c r="BF31" s="22"/>
      <c r="BG31" s="22"/>
      <c r="BH31" s="22"/>
      <c r="BI31" s="22"/>
      <c r="BJ31" s="22" t="s">
        <v>77</v>
      </c>
      <c r="BK31" t="s">
        <v>77</v>
      </c>
      <c r="BM31" s="22" t="s">
        <v>77</v>
      </c>
      <c r="BN31" s="22"/>
      <c r="BW31" t="s">
        <v>77</v>
      </c>
      <c r="BX31" t="s">
        <v>90</v>
      </c>
      <c r="BZ31" t="s">
        <v>76</v>
      </c>
      <c r="CB31" t="s">
        <v>77</v>
      </c>
      <c r="CD31" t="s">
        <v>77</v>
      </c>
    </row>
    <row r="32" spans="1:82" x14ac:dyDescent="0.25">
      <c r="A32">
        <v>2371</v>
      </c>
      <c r="B32" t="s">
        <v>58</v>
      </c>
      <c r="C32" t="s">
        <v>56</v>
      </c>
      <c r="D32" t="s">
        <v>211</v>
      </c>
      <c r="E32">
        <v>125000</v>
      </c>
      <c r="F32">
        <v>140000</v>
      </c>
      <c r="G32" t="s">
        <v>65</v>
      </c>
      <c r="H32">
        <f t="shared" si="0"/>
        <v>0</v>
      </c>
      <c r="I32">
        <v>3</v>
      </c>
      <c r="J32">
        <v>87</v>
      </c>
      <c r="K32">
        <v>1</v>
      </c>
      <c r="L32">
        <v>9</v>
      </c>
      <c r="M32">
        <v>4200</v>
      </c>
      <c r="N32">
        <v>121800</v>
      </c>
      <c r="O32">
        <v>1400</v>
      </c>
      <c r="P32">
        <v>12600</v>
      </c>
      <c r="Q32" t="s">
        <v>76</v>
      </c>
      <c r="S32">
        <v>45</v>
      </c>
      <c r="T32">
        <v>29</v>
      </c>
      <c r="U32">
        <v>29</v>
      </c>
      <c r="V32" t="s">
        <v>76</v>
      </c>
      <c r="W32" t="s">
        <v>89</v>
      </c>
      <c r="X32" t="s">
        <v>89</v>
      </c>
      <c r="Y32">
        <v>4200</v>
      </c>
      <c r="Z32">
        <v>0</v>
      </c>
      <c r="AA32">
        <v>0</v>
      </c>
      <c r="AB32">
        <v>14.285714285714285</v>
      </c>
      <c r="AC32">
        <v>35.714285714285715</v>
      </c>
      <c r="AD32">
        <v>21.428571428571427</v>
      </c>
      <c r="AE32">
        <v>28.571428571428569</v>
      </c>
      <c r="AF32">
        <v>0</v>
      </c>
      <c r="AG32">
        <v>0</v>
      </c>
      <c r="AH32">
        <v>599.99999999999989</v>
      </c>
      <c r="AI32">
        <v>1500</v>
      </c>
      <c r="AJ32">
        <v>900</v>
      </c>
      <c r="AK32">
        <v>1199.9999999999998</v>
      </c>
      <c r="AL32" t="s">
        <v>76</v>
      </c>
      <c r="AM32" t="s">
        <v>64</v>
      </c>
      <c r="AN32" t="s">
        <v>64</v>
      </c>
      <c r="AO32">
        <v>0</v>
      </c>
      <c r="AP32">
        <v>0</v>
      </c>
      <c r="AQ32">
        <v>0</v>
      </c>
      <c r="AR32">
        <v>100</v>
      </c>
      <c r="AS32">
        <v>0</v>
      </c>
      <c r="AT32">
        <v>0</v>
      </c>
      <c r="AU32">
        <v>0</v>
      </c>
      <c r="AV32">
        <v>0</v>
      </c>
      <c r="AW32">
        <v>1400</v>
      </c>
      <c r="AX32">
        <v>0</v>
      </c>
      <c r="AY32" t="s">
        <v>76</v>
      </c>
      <c r="AZ32">
        <f t="shared" si="1"/>
        <v>1400</v>
      </c>
      <c r="BA32">
        <v>0</v>
      </c>
      <c r="BB32" t="s">
        <v>118</v>
      </c>
      <c r="BC32" s="22"/>
      <c r="BD32" s="22"/>
      <c r="BE32" s="22"/>
      <c r="BF32" s="22"/>
      <c r="BG32" s="22"/>
      <c r="BH32" s="22"/>
      <c r="BI32" s="22" t="s">
        <v>64</v>
      </c>
      <c r="BJ32" s="22" t="s">
        <v>76</v>
      </c>
      <c r="BK32" t="s">
        <v>63</v>
      </c>
      <c r="BM32" s="22" t="s">
        <v>77</v>
      </c>
      <c r="BN32" s="22"/>
      <c r="BW32" t="s">
        <v>77</v>
      </c>
      <c r="BX32" t="s">
        <v>90</v>
      </c>
      <c r="BZ32" t="s">
        <v>76</v>
      </c>
      <c r="CB32" t="s">
        <v>77</v>
      </c>
      <c r="CD32" t="s">
        <v>77</v>
      </c>
    </row>
    <row r="33" spans="1:82" x14ac:dyDescent="0.25">
      <c r="A33">
        <v>2372</v>
      </c>
      <c r="B33" t="s">
        <v>58</v>
      </c>
      <c r="C33" t="s">
        <v>45</v>
      </c>
      <c r="D33" t="s">
        <v>211</v>
      </c>
      <c r="E33">
        <v>62000</v>
      </c>
      <c r="F33">
        <v>26000</v>
      </c>
      <c r="G33" t="s">
        <v>65</v>
      </c>
      <c r="H33">
        <f t="shared" si="0"/>
        <v>0</v>
      </c>
      <c r="I33">
        <v>0</v>
      </c>
      <c r="J33">
        <v>100</v>
      </c>
      <c r="K33">
        <v>0</v>
      </c>
      <c r="L33">
        <v>0</v>
      </c>
      <c r="M33">
        <v>0</v>
      </c>
      <c r="N33">
        <v>26000</v>
      </c>
      <c r="O33">
        <v>0</v>
      </c>
      <c r="P33">
        <v>0</v>
      </c>
      <c r="Q33" t="s">
        <v>76</v>
      </c>
      <c r="S33">
        <v>53</v>
      </c>
      <c r="V33" t="s">
        <v>76</v>
      </c>
      <c r="W33" t="s">
        <v>90</v>
      </c>
      <c r="X33" t="s">
        <v>90</v>
      </c>
      <c r="Y33">
        <v>0</v>
      </c>
      <c r="Z33" s="11"/>
      <c r="AA33" s="11"/>
      <c r="AB33" s="11"/>
      <c r="AC33" s="11"/>
      <c r="AD33" s="11"/>
      <c r="AE33" s="11"/>
      <c r="AF33" s="11"/>
      <c r="AG33" s="11"/>
      <c r="AH33" s="11"/>
      <c r="AI33" s="11"/>
      <c r="AJ33" s="11"/>
      <c r="AK33" s="11"/>
      <c r="AL33" s="11" t="s">
        <v>77</v>
      </c>
      <c r="AN33" t="s">
        <v>77</v>
      </c>
      <c r="AO33" s="11"/>
      <c r="AP33" s="11"/>
      <c r="AQ33" s="11"/>
      <c r="AR33" s="11"/>
      <c r="AS33" s="11"/>
      <c r="AT33" s="11"/>
      <c r="AU33" s="11"/>
      <c r="AV33" s="11"/>
      <c r="AW33" s="11"/>
      <c r="AX33" s="11"/>
      <c r="AY33" s="11" t="s">
        <v>77</v>
      </c>
      <c r="AZ33">
        <f t="shared" si="1"/>
        <v>0</v>
      </c>
      <c r="BB33" t="s">
        <v>77</v>
      </c>
      <c r="BC33" s="22"/>
      <c r="BD33" s="22"/>
      <c r="BE33" s="22"/>
      <c r="BF33" s="22"/>
      <c r="BG33" s="22"/>
      <c r="BH33" s="22"/>
      <c r="BI33" s="22"/>
      <c r="BJ33" s="22" t="s">
        <v>77</v>
      </c>
      <c r="BK33" t="s">
        <v>77</v>
      </c>
      <c r="BM33" s="22" t="s">
        <v>77</v>
      </c>
      <c r="BN33" s="22"/>
      <c r="BW33" t="s">
        <v>77</v>
      </c>
      <c r="BX33" t="s">
        <v>77</v>
      </c>
      <c r="BZ33" t="s">
        <v>201</v>
      </c>
      <c r="CB33" t="s">
        <v>77</v>
      </c>
      <c r="CD33" t="s">
        <v>77</v>
      </c>
    </row>
    <row r="34" spans="1:82" ht="15.75" thickBot="1" x14ac:dyDescent="0.3">
      <c r="A34">
        <v>2373</v>
      </c>
      <c r="B34" t="s">
        <v>58</v>
      </c>
      <c r="C34" t="s">
        <v>45</v>
      </c>
      <c r="D34" t="s">
        <v>211</v>
      </c>
      <c r="E34">
        <v>225000</v>
      </c>
      <c r="F34">
        <v>190000</v>
      </c>
      <c r="G34" t="s">
        <v>65</v>
      </c>
      <c r="H34">
        <f t="shared" si="0"/>
        <v>0</v>
      </c>
      <c r="I34">
        <v>15</v>
      </c>
      <c r="J34">
        <v>85</v>
      </c>
      <c r="K34">
        <v>0</v>
      </c>
      <c r="L34">
        <v>0</v>
      </c>
      <c r="M34">
        <v>28500</v>
      </c>
      <c r="N34">
        <v>161500</v>
      </c>
      <c r="O34">
        <v>0</v>
      </c>
      <c r="P34">
        <v>0</v>
      </c>
      <c r="Q34" t="s">
        <v>76</v>
      </c>
      <c r="S34">
        <v>43</v>
      </c>
      <c r="T34">
        <v>43</v>
      </c>
      <c r="U34">
        <v>43</v>
      </c>
      <c r="V34" t="s">
        <v>76</v>
      </c>
      <c r="W34" t="s">
        <v>89</v>
      </c>
      <c r="X34" t="s">
        <v>89</v>
      </c>
      <c r="Y34">
        <v>28500</v>
      </c>
      <c r="Z34">
        <v>5</v>
      </c>
      <c r="AA34">
        <v>5</v>
      </c>
      <c r="AB34">
        <v>53</v>
      </c>
      <c r="AC34">
        <v>25</v>
      </c>
      <c r="AD34">
        <v>2</v>
      </c>
      <c r="AE34">
        <v>10</v>
      </c>
      <c r="AF34">
        <v>1425</v>
      </c>
      <c r="AG34">
        <v>1425</v>
      </c>
      <c r="AH34">
        <v>15105</v>
      </c>
      <c r="AI34">
        <v>7125</v>
      </c>
      <c r="AJ34">
        <v>570</v>
      </c>
      <c r="AK34">
        <v>2850</v>
      </c>
      <c r="AL34" t="s">
        <v>76</v>
      </c>
      <c r="AN34" t="s">
        <v>64</v>
      </c>
      <c r="AO34" s="11"/>
      <c r="AP34" s="11"/>
      <c r="AQ34" s="11"/>
      <c r="AR34" s="11"/>
      <c r="AS34" s="11"/>
      <c r="AT34" s="11"/>
      <c r="AU34" s="11"/>
      <c r="AV34" s="11"/>
      <c r="AW34" s="11"/>
      <c r="AX34" s="11"/>
      <c r="AY34" s="11" t="s">
        <v>77</v>
      </c>
      <c r="AZ34">
        <f t="shared" si="1"/>
        <v>0</v>
      </c>
      <c r="BA34">
        <v>15</v>
      </c>
      <c r="BB34" t="s">
        <v>76</v>
      </c>
      <c r="BC34" s="22"/>
      <c r="BD34" s="22"/>
      <c r="BE34" s="22"/>
      <c r="BF34" s="22"/>
      <c r="BG34" s="22"/>
      <c r="BH34" s="22"/>
      <c r="BI34" s="22" t="s">
        <v>64</v>
      </c>
      <c r="BJ34" s="22" t="s">
        <v>76</v>
      </c>
      <c r="BK34" t="s">
        <v>63</v>
      </c>
      <c r="BM34" s="22" t="s">
        <v>77</v>
      </c>
      <c r="BN34" s="22"/>
      <c r="BW34" t="s">
        <v>77</v>
      </c>
      <c r="BX34" t="s">
        <v>90</v>
      </c>
      <c r="BZ34" t="s">
        <v>76</v>
      </c>
      <c r="CB34" t="s">
        <v>77</v>
      </c>
      <c r="CD34" t="s">
        <v>77</v>
      </c>
    </row>
    <row r="35" spans="1:82" ht="15.75" thickBot="1" x14ac:dyDescent="0.3">
      <c r="I35" t="s">
        <v>67</v>
      </c>
      <c r="J35" t="s">
        <v>68</v>
      </c>
      <c r="K35" t="s">
        <v>69</v>
      </c>
      <c r="L35" t="s">
        <v>70</v>
      </c>
      <c r="M35" t="s">
        <v>71</v>
      </c>
      <c r="N35" t="s">
        <v>72</v>
      </c>
      <c r="O35" t="s">
        <v>73</v>
      </c>
      <c r="P35" t="s">
        <v>74</v>
      </c>
      <c r="S35" t="s">
        <v>78</v>
      </c>
      <c r="T35" t="s">
        <v>79</v>
      </c>
      <c r="U35" t="s">
        <v>80</v>
      </c>
      <c r="V35" s="30"/>
      <c r="W35" t="s">
        <v>114</v>
      </c>
      <c r="X35" t="s">
        <v>115</v>
      </c>
      <c r="Y35" t="s">
        <v>117</v>
      </c>
      <c r="Z35" s="63" t="s">
        <v>119</v>
      </c>
      <c r="AA35" s="87" t="s">
        <v>120</v>
      </c>
      <c r="AB35" s="87" t="s">
        <v>121</v>
      </c>
      <c r="AC35" s="87" t="s">
        <v>122</v>
      </c>
      <c r="AD35" s="87" t="s">
        <v>123</v>
      </c>
      <c r="AE35" s="56" t="s">
        <v>124</v>
      </c>
      <c r="AF35" t="s">
        <v>125</v>
      </c>
      <c r="AG35" t="s">
        <v>126</v>
      </c>
      <c r="AH35" t="s">
        <v>127</v>
      </c>
      <c r="AI35" t="s">
        <v>128</v>
      </c>
      <c r="AJ35" t="s">
        <v>129</v>
      </c>
      <c r="AK35" t="s">
        <v>130</v>
      </c>
      <c r="AO35" s="20" t="s">
        <v>119</v>
      </c>
      <c r="AP35" s="20" t="s">
        <v>120</v>
      </c>
      <c r="AQ35" s="20" t="s">
        <v>139</v>
      </c>
      <c r="AR35" s="149" t="s">
        <v>140</v>
      </c>
      <c r="AS35" s="151" t="s">
        <v>124</v>
      </c>
      <c r="AT35" s="151" t="s">
        <v>141</v>
      </c>
      <c r="AU35" s="151" t="s">
        <v>142</v>
      </c>
      <c r="AV35" s="151" t="s">
        <v>143</v>
      </c>
      <c r="AW35" s="151" t="s">
        <v>144</v>
      </c>
      <c r="AX35" s="153" t="s">
        <v>145</v>
      </c>
      <c r="AY35" s="11" t="s">
        <v>190</v>
      </c>
      <c r="AZ35">
        <f>SUM(AZ3:AZ34)</f>
        <v>45172.258115062257</v>
      </c>
      <c r="BA35" t="s">
        <v>148</v>
      </c>
      <c r="BB35" t="s">
        <v>146</v>
      </c>
      <c r="BC35" s="22" t="s">
        <v>150</v>
      </c>
      <c r="BD35" s="22" t="s">
        <v>151</v>
      </c>
      <c r="BE35" s="22" t="s">
        <v>152</v>
      </c>
      <c r="BF35" s="22" t="s">
        <v>153</v>
      </c>
      <c r="BG35" s="22" t="s">
        <v>154</v>
      </c>
      <c r="BH35" s="22" t="s">
        <v>155</v>
      </c>
      <c r="BI35" s="22" t="s">
        <v>156</v>
      </c>
      <c r="BJ35" s="22" t="s">
        <v>146</v>
      </c>
      <c r="BK35" t="s">
        <v>161</v>
      </c>
      <c r="BM35" s="28" t="s">
        <v>164</v>
      </c>
      <c r="BN35" s="28" t="s">
        <v>165</v>
      </c>
      <c r="BO35" t="s">
        <v>167</v>
      </c>
      <c r="BP35" t="s">
        <v>168</v>
      </c>
      <c r="BQ35" t="s">
        <v>169</v>
      </c>
      <c r="BR35" t="s">
        <v>170</v>
      </c>
      <c r="BS35" t="s">
        <v>171</v>
      </c>
      <c r="BT35" t="s">
        <v>172</v>
      </c>
      <c r="BV35" t="s">
        <v>195</v>
      </c>
      <c r="BW35" t="s">
        <v>163</v>
      </c>
      <c r="BX35" t="s">
        <v>175</v>
      </c>
      <c r="BY35" t="s">
        <v>177</v>
      </c>
      <c r="BZ35" t="s">
        <v>163</v>
      </c>
      <c r="CA35" t="s">
        <v>179</v>
      </c>
      <c r="CB35" t="s">
        <v>146</v>
      </c>
      <c r="CC35" t="s">
        <v>178</v>
      </c>
      <c r="CD35" t="s">
        <v>146</v>
      </c>
    </row>
    <row r="36" spans="1:82" ht="15.75" thickBot="1" x14ac:dyDescent="0.3">
      <c r="D36" t="s">
        <v>180</v>
      </c>
      <c r="E36">
        <f>AVERAGE(E3:E34)</f>
        <v>183647.54838709679</v>
      </c>
      <c r="F36">
        <f>AVERAGE(F3:F34)</f>
        <v>126548.83781249999</v>
      </c>
      <c r="I36" s="43">
        <f t="shared" ref="I36:BR36" si="3">AVERAGE(I3:I34)</f>
        <v>7.7972622922093509</v>
      </c>
      <c r="J36" s="43">
        <f t="shared" si="3"/>
        <v>84.687133081805399</v>
      </c>
      <c r="K36" s="43">
        <f t="shared" si="3"/>
        <v>2.9881695371626504</v>
      </c>
      <c r="L36" s="43">
        <f t="shared" si="3"/>
        <v>4.5274350888225774</v>
      </c>
      <c r="M36" s="43">
        <f t="shared" si="3"/>
        <v>3687.511618900628</v>
      </c>
      <c r="N36" s="43">
        <f t="shared" si="3"/>
        <v>121714.75216244913</v>
      </c>
      <c r="O36" s="43">
        <f t="shared" si="3"/>
        <v>1519.1352705020754</v>
      </c>
      <c r="P36" s="43">
        <f t="shared" si="3"/>
        <v>2336.6279481481479</v>
      </c>
      <c r="Q36" s="43"/>
      <c r="R36" s="43"/>
      <c r="S36" s="43">
        <f t="shared" si="3"/>
        <v>46.587142857142858</v>
      </c>
      <c r="T36" s="43">
        <f t="shared" si="3"/>
        <v>27.066666666666666</v>
      </c>
      <c r="U36" s="43">
        <f t="shared" si="3"/>
        <v>29</v>
      </c>
      <c r="V36" s="74"/>
      <c r="W36" s="75"/>
      <c r="X36" s="76"/>
      <c r="Y36" s="43"/>
      <c r="Z36" s="88">
        <f t="shared" si="3"/>
        <v>5.4064724919093852</v>
      </c>
      <c r="AA36" s="86">
        <f t="shared" si="3"/>
        <v>11.473139158576052</v>
      </c>
      <c r="AB36" s="86">
        <f t="shared" si="3"/>
        <v>41.981938665433816</v>
      </c>
      <c r="AC36" s="86">
        <f t="shared" si="3"/>
        <v>14.121513330251194</v>
      </c>
      <c r="AD36" s="86">
        <f t="shared" si="3"/>
        <v>8.0619047619047617</v>
      </c>
      <c r="AE36" s="89">
        <f t="shared" si="3"/>
        <v>18.955031591924797</v>
      </c>
      <c r="AF36" s="43">
        <f t="shared" si="3"/>
        <v>358.16103333333342</v>
      </c>
      <c r="AG36" s="43">
        <f t="shared" si="3"/>
        <v>342.20636666666667</v>
      </c>
      <c r="AH36" s="43">
        <f t="shared" si="3"/>
        <v>4093.0069999999992</v>
      </c>
      <c r="AI36" s="43">
        <f t="shared" si="3"/>
        <v>1068.7005466666667</v>
      </c>
      <c r="AJ36" s="43">
        <f t="shared" si="3"/>
        <v>129.05393999999998</v>
      </c>
      <c r="AK36" s="43">
        <f t="shared" si="3"/>
        <v>807.6179800000001</v>
      </c>
      <c r="AL36" s="43"/>
      <c r="AM36" s="80" t="s">
        <v>214</v>
      </c>
      <c r="AN36" s="81">
        <f>COUNTIF(AN3:AN34,"YES")</f>
        <v>16</v>
      </c>
      <c r="AO36" s="43">
        <f t="shared" si="3"/>
        <v>12.144189307795521</v>
      </c>
      <c r="AP36" s="43">
        <f t="shared" si="3"/>
        <v>10.144522144522146</v>
      </c>
      <c r="AQ36" s="43">
        <f t="shared" si="3"/>
        <v>4.8205128205128203</v>
      </c>
      <c r="AR36" s="43">
        <f t="shared" si="3"/>
        <v>72.890775727169512</v>
      </c>
      <c r="AS36" s="154">
        <f t="shared" si="3"/>
        <v>0</v>
      </c>
      <c r="AT36" s="154">
        <f t="shared" si="3"/>
        <v>1090.2214284276922</v>
      </c>
      <c r="AU36" s="154">
        <f t="shared" si="3"/>
        <v>312.62341678321678</v>
      </c>
      <c r="AV36" s="154">
        <f t="shared" si="3"/>
        <v>53.238258041958041</v>
      </c>
      <c r="AW36" s="154">
        <f t="shared" si="3"/>
        <v>2650.4858162982473</v>
      </c>
      <c r="AX36" s="43">
        <f t="shared" si="3"/>
        <v>0</v>
      </c>
      <c r="AY36" s="43"/>
      <c r="AZ36" s="43"/>
      <c r="BA36" s="43">
        <f t="shared" si="3"/>
        <v>1338.8333333333333</v>
      </c>
      <c r="BB36" s="43"/>
      <c r="BC36" s="43">
        <f t="shared" si="3"/>
        <v>20</v>
      </c>
      <c r="BD36" s="43">
        <f t="shared" si="3"/>
        <v>2450.1</v>
      </c>
      <c r="BE36" s="43">
        <f t="shared" si="3"/>
        <v>10</v>
      </c>
      <c r="BF36" s="43">
        <f t="shared" si="3"/>
        <v>550.1</v>
      </c>
      <c r="BG36" s="43">
        <f t="shared" si="3"/>
        <v>0</v>
      </c>
      <c r="BH36" s="43">
        <f t="shared" si="3"/>
        <v>43.76</v>
      </c>
      <c r="BI36" s="43"/>
      <c r="BJ36" s="43"/>
      <c r="BK36" s="43"/>
      <c r="BL36" s="43"/>
      <c r="BM36" s="43"/>
      <c r="BN36" s="43">
        <f t="shared" si="3"/>
        <v>0</v>
      </c>
      <c r="BO36" s="43"/>
      <c r="BP36" s="43"/>
      <c r="BQ36" s="43">
        <f t="shared" si="3"/>
        <v>1.5</v>
      </c>
      <c r="BR36" s="43">
        <f t="shared" si="3"/>
        <v>4.5999999999999996</v>
      </c>
      <c r="BS36" s="43"/>
      <c r="BT36" s="43"/>
      <c r="BU36" s="43"/>
      <c r="BV36" s="43"/>
      <c r="BW36" s="43"/>
      <c r="BX36" s="43"/>
      <c r="BY36" s="43">
        <f t="shared" ref="BY36:CC36" si="4">AVERAGE(BY3:BY34)</f>
        <v>1100</v>
      </c>
      <c r="BZ36" s="43"/>
      <c r="CA36" s="43">
        <f t="shared" si="4"/>
        <v>1100</v>
      </c>
      <c r="CB36" s="43"/>
      <c r="CC36" s="43">
        <f t="shared" si="4"/>
        <v>100</v>
      </c>
      <c r="CD36" s="43"/>
    </row>
    <row r="37" spans="1:82" ht="15.75" thickBot="1" x14ac:dyDescent="0.3">
      <c r="G37" t="s">
        <v>87</v>
      </c>
      <c r="I37">
        <f>F36*0.078</f>
        <v>9870.8093493749984</v>
      </c>
      <c r="J37">
        <f>F36*0.8467</f>
        <v>107148.90097584375</v>
      </c>
      <c r="K37">
        <f>F36*0.0299</f>
        <v>3783.8102505937495</v>
      </c>
      <c r="L37">
        <f>F36*0.0453</f>
        <v>5732.662352906249</v>
      </c>
      <c r="V37" s="30" t="s">
        <v>214</v>
      </c>
      <c r="W37" s="31">
        <f>COUNTIF(W3:W34,"YES")</f>
        <v>30</v>
      </c>
      <c r="X37" s="32">
        <f>COUNTIF(X3:X34,"YES")</f>
        <v>28</v>
      </c>
      <c r="Z37" s="5"/>
      <c r="AA37" s="2"/>
      <c r="AB37" s="2"/>
      <c r="AC37" s="2"/>
      <c r="AD37" s="140"/>
      <c r="AE37" s="141"/>
      <c r="AM37" s="40" t="s">
        <v>217</v>
      </c>
      <c r="AN37" s="39">
        <f>COUNTIF(AN3:AN34,"TWO")</f>
        <v>3</v>
      </c>
      <c r="AS37" s="146" t="s">
        <v>118</v>
      </c>
      <c r="AT37" s="146">
        <f>SUM(AT3:AT34)</f>
        <v>11992.435712704615</v>
      </c>
      <c r="AU37" s="146">
        <f t="shared" ref="AU37:AX37" si="5">SUM(AU3:AU34)</f>
        <v>3438.8575846153849</v>
      </c>
      <c r="AV37" s="146">
        <f t="shared" si="5"/>
        <v>585.62083846153848</v>
      </c>
      <c r="AW37" s="146">
        <f t="shared" si="5"/>
        <v>29155.343979280718</v>
      </c>
      <c r="AX37">
        <f t="shared" si="5"/>
        <v>0</v>
      </c>
      <c r="AY37">
        <f>SUM(AT37:AX37)</f>
        <v>45172.258115062257</v>
      </c>
      <c r="BA37">
        <f>AVERAGEIF(BA3:BA34,"&gt;0")</f>
        <v>2295.1428571428573</v>
      </c>
      <c r="BC37">
        <f>AVERAGEIF(BC3:BC34,"&gt;0")</f>
        <v>20</v>
      </c>
      <c r="BD37">
        <f t="shared" ref="BD37:BH37" si="6">AVERAGEIF(BD3:BD34,"&gt;0")</f>
        <v>3675.15</v>
      </c>
      <c r="BE37">
        <f t="shared" si="6"/>
        <v>20</v>
      </c>
      <c r="BF37">
        <f t="shared" si="6"/>
        <v>825.15</v>
      </c>
      <c r="BH37">
        <f t="shared" si="6"/>
        <v>87.52</v>
      </c>
      <c r="BW37" t="s">
        <v>64</v>
      </c>
      <c r="BX37">
        <f>COUNTIF(BX3:BX34,"YES")</f>
        <v>4</v>
      </c>
    </row>
    <row r="38" spans="1:82" ht="15.75" thickBot="1" x14ac:dyDescent="0.3">
      <c r="V38" s="40" t="s">
        <v>215</v>
      </c>
      <c r="W38" s="23">
        <f>COUNTIF(W3:W34,"NO")</f>
        <v>1</v>
      </c>
      <c r="X38" s="39">
        <f>COUNTIF(X3:X34,"NO")</f>
        <v>3</v>
      </c>
      <c r="Z38" s="7"/>
      <c r="AA38" s="8"/>
      <c r="AB38" s="8"/>
      <c r="AC38" s="139"/>
      <c r="AD38" s="142"/>
      <c r="AE38" s="143"/>
      <c r="AF38" s="31"/>
      <c r="AG38" s="31"/>
      <c r="AH38" s="31"/>
      <c r="AI38" s="31"/>
      <c r="AJ38" s="31"/>
      <c r="AK38" s="32"/>
      <c r="AM38" s="40" t="s">
        <v>215</v>
      </c>
      <c r="AN38" s="39">
        <f>COUNTIF(AN3:AN34,"NO")</f>
        <v>10</v>
      </c>
      <c r="AS38" s="146" t="s">
        <v>266</v>
      </c>
      <c r="AT38" s="146">
        <f>AT37/AY37</f>
        <v>0.26548231620738599</v>
      </c>
      <c r="AU38" s="146">
        <f>AU37/AY37</f>
        <v>7.6127644003449332E-2</v>
      </c>
      <c r="AV38" s="146">
        <f>AV37/AY37</f>
        <v>1.296417011011165E-2</v>
      </c>
      <c r="AW38" s="146">
        <f>AW37/AY37</f>
        <v>0.64542586967905302</v>
      </c>
      <c r="BJ38" t="s">
        <v>158</v>
      </c>
      <c r="BK38">
        <f>COUNTIF(BK3:BK35,"OTHER")</f>
        <v>4</v>
      </c>
      <c r="BL38" t="s">
        <v>64</v>
      </c>
      <c r="BM38">
        <f>COUNTIF(BM3:BM34,"YES")</f>
        <v>3</v>
      </c>
      <c r="BW38" t="s">
        <v>63</v>
      </c>
      <c r="BX38">
        <f>COUNTIF(BX3:BX34,"NO")</f>
        <v>17</v>
      </c>
    </row>
    <row r="39" spans="1:82" ht="15.75" thickBot="1" x14ac:dyDescent="0.3">
      <c r="F39" s="83" t="s">
        <v>257</v>
      </c>
      <c r="J39" s="43"/>
      <c r="M39" s="30" t="s">
        <v>258</v>
      </c>
      <c r="N39" s="31" t="s">
        <v>259</v>
      </c>
      <c r="O39" s="31" t="s">
        <v>260</v>
      </c>
      <c r="P39" s="32" t="s">
        <v>261</v>
      </c>
      <c r="V39" s="40" t="s">
        <v>183</v>
      </c>
      <c r="W39" s="23">
        <f>W37+W38</f>
        <v>31</v>
      </c>
      <c r="X39" s="39">
        <f>X37+X38</f>
        <v>31</v>
      </c>
      <c r="AB39" s="43"/>
      <c r="AD39" s="40"/>
      <c r="AE39" s="23"/>
      <c r="AF39" s="144" t="s">
        <v>125</v>
      </c>
      <c r="AG39" s="144" t="s">
        <v>126</v>
      </c>
      <c r="AH39" s="144" t="s">
        <v>127</v>
      </c>
      <c r="AI39" s="144" t="s">
        <v>128</v>
      </c>
      <c r="AJ39" s="144" t="s">
        <v>129</v>
      </c>
      <c r="AK39" s="145" t="s">
        <v>130</v>
      </c>
      <c r="AM39" s="40" t="s">
        <v>77</v>
      </c>
      <c r="AN39" s="39">
        <f>COUNTIF(AN3:AN34,"No Response")</f>
        <v>3</v>
      </c>
      <c r="AS39" s="146" t="s">
        <v>286</v>
      </c>
      <c r="AT39" s="152">
        <f>AT38*AR43</f>
        <v>394.77220420038299</v>
      </c>
      <c r="AU39" s="152">
        <f>AU38*AR43</f>
        <v>113.20180663312915</v>
      </c>
      <c r="AV39" s="152">
        <f>AV38*AR43</f>
        <v>19.277720953736022</v>
      </c>
      <c r="AW39" s="152">
        <f>AW38*AR43</f>
        <v>959.7482682127519</v>
      </c>
      <c r="BJ39" t="s">
        <v>159</v>
      </c>
      <c r="BK39">
        <f>COUNTIF(BK3:BK34,"REPAIR")</f>
        <v>0</v>
      </c>
      <c r="BL39" t="s">
        <v>63</v>
      </c>
      <c r="BM39">
        <f>COUNTIF(BM3:BM34,"No")</f>
        <v>1</v>
      </c>
      <c r="BW39" t="s">
        <v>183</v>
      </c>
      <c r="BX39">
        <f>SUM(BX37:BX38)</f>
        <v>21</v>
      </c>
    </row>
    <row r="40" spans="1:82" ht="15.75" thickBot="1" x14ac:dyDescent="0.3">
      <c r="F40">
        <f>SUM(F3:F34)-H12-H9</f>
        <v>3877740.8099999996</v>
      </c>
      <c r="G40">
        <f>SUM(M40:P40)</f>
        <v>3877740.8099999996</v>
      </c>
      <c r="M40" s="40">
        <f>SUM(M3:M34)</f>
        <v>110625.34856701884</v>
      </c>
      <c r="N40" s="23">
        <f>SUM(N3:N34)</f>
        <v>3651442.5648734742</v>
      </c>
      <c r="O40" s="23">
        <f t="shared" ref="O40:P40" si="7">SUM(O3:O34)</f>
        <v>45574.05811506226</v>
      </c>
      <c r="P40" s="39">
        <f t="shared" si="7"/>
        <v>70098.838444444438</v>
      </c>
      <c r="V40" s="33" t="s">
        <v>216</v>
      </c>
      <c r="W40" s="41">
        <f>W37/W39</f>
        <v>0.967741935483871</v>
      </c>
      <c r="X40" s="42">
        <f>X37/X39</f>
        <v>0.90322580645161288</v>
      </c>
      <c r="AD40" s="40" t="s">
        <v>267</v>
      </c>
      <c r="AE40" s="23">
        <f>SUM(Y3:Y34)</f>
        <v>101981.20299999999</v>
      </c>
      <c r="AF40" s="23">
        <f>SUM(AF3:AF34)</f>
        <v>5372.415500000001</v>
      </c>
      <c r="AG40" s="23">
        <f t="shared" ref="AG40:AK40" si="8">SUM(AG3:AG34)</f>
        <v>5133.0955000000004</v>
      </c>
      <c r="AH40" s="23">
        <f t="shared" si="8"/>
        <v>61395.104999999989</v>
      </c>
      <c r="AI40" s="23">
        <f t="shared" si="8"/>
        <v>16030.5082</v>
      </c>
      <c r="AJ40" s="23">
        <f t="shared" si="8"/>
        <v>1935.8090999999999</v>
      </c>
      <c r="AK40" s="39">
        <f t="shared" si="8"/>
        <v>12114.269700000001</v>
      </c>
      <c r="AM40" s="40" t="s">
        <v>189</v>
      </c>
      <c r="AN40" s="76">
        <f>SUM(AN36:AN38)</f>
        <v>29</v>
      </c>
      <c r="AS40" s="146" t="s">
        <v>287</v>
      </c>
      <c r="AT40" s="152">
        <f>AT38*AR42</f>
        <v>109054.36268040338</v>
      </c>
      <c r="AU40" s="152">
        <f>AU38*AR42</f>
        <v>31271.580788347164</v>
      </c>
      <c r="AV40" s="152">
        <f>AV38*AR42</f>
        <v>5325.3991800122294</v>
      </c>
      <c r="AW40" s="152">
        <f>AW38*AR42</f>
        <v>265126.91271048953</v>
      </c>
      <c r="BJ40" t="s">
        <v>63</v>
      </c>
      <c r="BK40">
        <f>COUNTIF(BK3:BK34,"NO")</f>
        <v>9</v>
      </c>
    </row>
    <row r="41" spans="1:82" x14ac:dyDescent="0.25">
      <c r="M41" s="40">
        <f>M40/$G40</f>
        <v>2.8528298818150988E-2</v>
      </c>
      <c r="N41" s="23">
        <f t="shared" ref="N41:P41" si="9">N40/$G40</f>
        <v>0.94164173001378981</v>
      </c>
      <c r="O41" s="23">
        <f t="shared" si="9"/>
        <v>1.1752734478161851E-2</v>
      </c>
      <c r="P41" s="39">
        <f t="shared" si="9"/>
        <v>1.8077236689897396E-2</v>
      </c>
      <c r="AD41" s="40"/>
      <c r="AE41" s="23" t="s">
        <v>266</v>
      </c>
      <c r="AF41" s="136">
        <f>AF40/$AE40</f>
        <v>5.268044837635423E-2</v>
      </c>
      <c r="AG41" s="136">
        <f t="shared" ref="AG41:AK41" si="10">AG40/$AE40</f>
        <v>5.033374140526662E-2</v>
      </c>
      <c r="AH41" s="136">
        <f t="shared" si="10"/>
        <v>0.60202373764898609</v>
      </c>
      <c r="AI41" s="136">
        <f t="shared" si="10"/>
        <v>0.15719081289911829</v>
      </c>
      <c r="AJ41" s="136">
        <f t="shared" si="10"/>
        <v>1.8982018676520222E-2</v>
      </c>
      <c r="AK41" s="54">
        <f t="shared" si="10"/>
        <v>0.11878924099375451</v>
      </c>
      <c r="AM41" s="40"/>
      <c r="AN41" s="39"/>
      <c r="BJ41" t="s">
        <v>219</v>
      </c>
      <c r="BK41">
        <f>COUNTIF(BK3:BK34,"Recycler")</f>
        <v>1</v>
      </c>
      <c r="BM41" t="s">
        <v>227</v>
      </c>
      <c r="BN41">
        <f>COUNTA(BN3:BN34)</f>
        <v>3</v>
      </c>
    </row>
    <row r="42" spans="1:82" ht="15.75" thickBot="1" x14ac:dyDescent="0.3">
      <c r="M42" s="33">
        <f>M41*$F36</f>
        <v>3610.2230602047243</v>
      </c>
      <c r="N42" s="34">
        <f t="shared" ref="N42:P42" si="11">N41*$F36</f>
        <v>119163.66656899698</v>
      </c>
      <c r="O42" s="34">
        <f t="shared" si="11"/>
        <v>1487.2948893302807</v>
      </c>
      <c r="P42" s="35">
        <f t="shared" si="11"/>
        <v>2287.6532939679996</v>
      </c>
      <c r="AD42" s="33"/>
      <c r="AE42" s="34" t="s">
        <v>87</v>
      </c>
      <c r="AF42" s="34">
        <f>AF41*$M42</f>
        <v>190.18816955023857</v>
      </c>
      <c r="AG42" s="34">
        <f t="shared" ref="AG42:AK42" si="12">AG41*$M42</f>
        <v>181.71603392767489</v>
      </c>
      <c r="AH42" s="34">
        <f t="shared" si="12"/>
        <v>2173.4399804510085</v>
      </c>
      <c r="AI42" s="34">
        <f t="shared" si="12"/>
        <v>567.49389758072311</v>
      </c>
      <c r="AJ42" s="34">
        <f t="shared" si="12"/>
        <v>68.529321555210061</v>
      </c>
      <c r="AK42" s="34">
        <f t="shared" si="12"/>
        <v>428.85565713986892</v>
      </c>
      <c r="AM42" s="40" t="s">
        <v>216</v>
      </c>
      <c r="AN42" s="54">
        <f>AN36/AN40</f>
        <v>0.55172413793103448</v>
      </c>
      <c r="AQ42" t="s">
        <v>287</v>
      </c>
      <c r="AR42">
        <v>410778.25535925233</v>
      </c>
      <c r="BJ42" t="s">
        <v>183</v>
      </c>
      <c r="BK42">
        <f>SUM(BK38:BK41)</f>
        <v>14</v>
      </c>
    </row>
    <row r="43" spans="1:82" ht="15.75" thickBot="1" x14ac:dyDescent="0.3">
      <c r="AM43" s="33" t="s">
        <v>218</v>
      </c>
      <c r="AN43" s="42">
        <f>AN37/AN40</f>
        <v>0.10344827586206896</v>
      </c>
      <c r="AQ43" t="s">
        <v>285</v>
      </c>
      <c r="AR43">
        <v>1487</v>
      </c>
    </row>
    <row r="44" spans="1:82" x14ac:dyDescent="0.25">
      <c r="BJ44" t="s">
        <v>220</v>
      </c>
      <c r="BK44" s="38">
        <f>BK38/BK42</f>
        <v>0.2857142857142857</v>
      </c>
      <c r="BL44" s="38"/>
    </row>
    <row r="45" spans="1:82" ht="15.75" thickBot="1" x14ac:dyDescent="0.3">
      <c r="K45">
        <v>248558752.78899327</v>
      </c>
      <c r="L45">
        <f>K45*M41</f>
        <v>7090958.3734313203</v>
      </c>
      <c r="BJ45" t="s">
        <v>221</v>
      </c>
      <c r="BK45" s="38">
        <v>0</v>
      </c>
      <c r="BL45" s="38"/>
    </row>
    <row r="46" spans="1:82" ht="15.75" thickBot="1" x14ac:dyDescent="0.3">
      <c r="AO46" s="20" t="s">
        <v>119</v>
      </c>
      <c r="AP46" s="20" t="s">
        <v>120</v>
      </c>
      <c r="AQ46" s="20" t="s">
        <v>139</v>
      </c>
      <c r="AR46" s="149" t="s">
        <v>140</v>
      </c>
      <c r="AS46" s="151" t="s">
        <v>124</v>
      </c>
      <c r="AT46" s="151" t="s">
        <v>141</v>
      </c>
      <c r="AU46" s="151" t="s">
        <v>142</v>
      </c>
      <c r="AV46" s="151" t="s">
        <v>143</v>
      </c>
      <c r="AW46" s="151" t="s">
        <v>144</v>
      </c>
      <c r="AX46" s="153" t="s">
        <v>145</v>
      </c>
      <c r="BJ46" t="s">
        <v>222</v>
      </c>
      <c r="BK46" s="38">
        <f>BK40/BK42</f>
        <v>0.6428571428571429</v>
      </c>
      <c r="BL46" s="38"/>
    </row>
    <row r="47" spans="1:82" x14ac:dyDescent="0.25">
      <c r="AO47">
        <f>AVERAGE(AO3:AO34)</f>
        <v>12.144189307795521</v>
      </c>
      <c r="AP47">
        <f t="shared" ref="AP47:AX47" si="13">AVERAGE(AP3:AP34)</f>
        <v>10.144522144522146</v>
      </c>
      <c r="AQ47">
        <f t="shared" si="13"/>
        <v>4.8205128205128203</v>
      </c>
      <c r="AR47">
        <f t="shared" si="13"/>
        <v>72.890775727169512</v>
      </c>
      <c r="AS47">
        <f t="shared" si="13"/>
        <v>0</v>
      </c>
      <c r="AT47">
        <f t="shared" si="13"/>
        <v>1090.2214284276922</v>
      </c>
      <c r="AU47">
        <f t="shared" si="13"/>
        <v>312.62341678321678</v>
      </c>
      <c r="AV47">
        <f t="shared" si="13"/>
        <v>53.238258041958041</v>
      </c>
      <c r="AW47">
        <f t="shared" si="13"/>
        <v>2650.4858162982473</v>
      </c>
      <c r="AX47">
        <f t="shared" si="13"/>
        <v>0</v>
      </c>
      <c r="AY47">
        <f>SUM(AT47:AX47)</f>
        <v>4106.568919551114</v>
      </c>
      <c r="BJ47" t="s">
        <v>223</v>
      </c>
      <c r="BK47" s="38">
        <f>BK41/BK42</f>
        <v>7.1428571428571425E-2</v>
      </c>
      <c r="BL47" s="38"/>
    </row>
    <row r="59" spans="6:65" s="18" customFormat="1" x14ac:dyDescent="0.25">
      <c r="F59" s="279"/>
      <c r="G59" s="279"/>
      <c r="H59" s="85"/>
      <c r="I59" s="279"/>
      <c r="J59" s="279"/>
      <c r="K59" s="279"/>
      <c r="L59" s="279"/>
      <c r="M59" s="279"/>
      <c r="N59" s="279"/>
      <c r="O59" s="279"/>
      <c r="P59" s="279"/>
      <c r="Q59" s="279"/>
      <c r="R59" s="279"/>
      <c r="S59" s="279"/>
      <c r="T59" s="279"/>
      <c r="U59" s="279"/>
      <c r="V59" s="279"/>
      <c r="W59" s="279"/>
      <c r="X59" s="279"/>
      <c r="Y59" s="279"/>
      <c r="Z59" s="286"/>
      <c r="AA59" s="286"/>
      <c r="AB59" s="286"/>
      <c r="AC59" s="286"/>
      <c r="AD59" s="286"/>
      <c r="AE59" s="286"/>
      <c r="AF59" s="286"/>
      <c r="AG59" s="286"/>
      <c r="AH59" s="286"/>
      <c r="AI59" s="286"/>
      <c r="AJ59" s="286"/>
      <c r="AK59" s="286"/>
      <c r="AL59" s="286"/>
      <c r="AM59" s="286"/>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77"/>
      <c r="BL59" s="77"/>
    </row>
    <row r="60" spans="6:65" s="18" customFormat="1" x14ac:dyDescent="0.25">
      <c r="AO60" s="20"/>
      <c r="AP60" s="20"/>
      <c r="AQ60" s="20"/>
      <c r="AR60" s="20"/>
      <c r="AS60" s="20"/>
      <c r="AT60" s="20"/>
      <c r="AU60" s="20"/>
      <c r="AV60" s="20"/>
      <c r="AW60" s="20"/>
      <c r="AX60" s="20"/>
      <c r="AY60" s="21"/>
      <c r="BC60" s="22"/>
      <c r="BD60" s="22"/>
      <c r="BE60" s="22"/>
      <c r="BF60" s="22"/>
      <c r="BG60" s="22"/>
      <c r="BH60" s="22"/>
      <c r="BI60" s="22"/>
      <c r="BJ60" s="22"/>
      <c r="BM60" s="28"/>
    </row>
    <row r="61" spans="6:65" s="18" customFormat="1" x14ac:dyDescent="0.25">
      <c r="Z61" s="78"/>
      <c r="AA61" s="78"/>
      <c r="AB61" s="78"/>
      <c r="AC61" s="78"/>
      <c r="AD61" s="78"/>
      <c r="AE61" s="78"/>
      <c r="AF61" s="78"/>
      <c r="AG61" s="78"/>
      <c r="AH61" s="78"/>
      <c r="AI61" s="78"/>
      <c r="AJ61" s="78"/>
      <c r="AK61" s="78"/>
      <c r="BC61" s="22"/>
      <c r="BD61" s="22"/>
      <c r="BE61" s="22"/>
      <c r="BF61" s="22"/>
      <c r="BG61" s="22"/>
      <c r="BH61" s="22"/>
      <c r="BI61" s="22"/>
      <c r="BJ61" s="22"/>
      <c r="BM61" s="22"/>
    </row>
    <row r="62" spans="6:65" s="18" customFormat="1" x14ac:dyDescent="0.25">
      <c r="R62" s="79"/>
      <c r="BC62" s="22"/>
      <c r="BD62" s="22"/>
      <c r="BE62" s="22"/>
      <c r="BF62" s="22"/>
      <c r="BG62" s="22"/>
      <c r="BH62" s="22"/>
      <c r="BI62" s="22"/>
      <c r="BJ62" s="22"/>
      <c r="BM62" s="22"/>
    </row>
    <row r="63" spans="6:65" s="18" customFormat="1" x14ac:dyDescent="0.25">
      <c r="BC63" s="22"/>
      <c r="BD63" s="22"/>
      <c r="BE63" s="22"/>
      <c r="BF63" s="22"/>
      <c r="BG63" s="22"/>
      <c r="BH63" s="22"/>
      <c r="BI63" s="22"/>
      <c r="BJ63" s="22"/>
      <c r="BM63" s="22"/>
    </row>
    <row r="64" spans="6:65" x14ac:dyDescent="0.25">
      <c r="AL64" s="11"/>
      <c r="AO64" s="11"/>
      <c r="AP64" s="11"/>
      <c r="AQ64" s="11"/>
      <c r="AR64" s="11"/>
      <c r="AS64" s="11"/>
      <c r="AT64" s="11"/>
      <c r="AU64" s="11"/>
      <c r="AV64" s="11"/>
      <c r="AW64" s="11"/>
      <c r="AX64" s="11"/>
      <c r="AY64" s="11"/>
      <c r="BC64" s="22"/>
      <c r="BD64" s="22"/>
      <c r="BE64" s="22"/>
      <c r="BF64" s="22"/>
      <c r="BG64" s="22"/>
      <c r="BH64" s="22"/>
      <c r="BI64" s="22"/>
      <c r="BJ64" s="22"/>
      <c r="BM64" s="22"/>
    </row>
    <row r="65" spans="9:65" x14ac:dyDescent="0.25">
      <c r="AL65" s="18"/>
      <c r="BC65" s="22"/>
      <c r="BD65" s="22"/>
      <c r="BE65" s="22"/>
      <c r="BF65" s="22"/>
      <c r="BG65" s="22"/>
      <c r="BH65" s="22"/>
      <c r="BI65" s="22"/>
      <c r="BJ65" s="22"/>
      <c r="BM65" s="22"/>
    </row>
    <row r="66" spans="9:65" x14ac:dyDescent="0.25">
      <c r="I66" s="11"/>
      <c r="J66" s="11"/>
      <c r="K66" s="11"/>
      <c r="L66" s="11"/>
      <c r="M66" s="11"/>
      <c r="N66" s="11"/>
      <c r="O66" s="11"/>
      <c r="P66" s="11"/>
      <c r="Q66" s="11"/>
      <c r="R66" s="11"/>
      <c r="Z66" s="11"/>
      <c r="AA66" s="11"/>
      <c r="AB66" s="11"/>
      <c r="AC66" s="11"/>
      <c r="AD66" s="11"/>
      <c r="AE66" s="11"/>
      <c r="AF66" s="11"/>
      <c r="AG66" s="11"/>
      <c r="AH66" s="11"/>
      <c r="AI66" s="11"/>
      <c r="AJ66" s="11"/>
      <c r="AK66" s="11"/>
      <c r="AL66" s="11"/>
      <c r="AO66" s="11"/>
      <c r="AP66" s="11"/>
      <c r="AQ66" s="11"/>
      <c r="AR66" s="11"/>
      <c r="AS66" s="11"/>
      <c r="AT66" s="11"/>
      <c r="AU66" s="11"/>
      <c r="AV66" s="11"/>
      <c r="AW66" s="11"/>
      <c r="AX66" s="11"/>
      <c r="AY66" s="11"/>
      <c r="BC66" s="22"/>
      <c r="BD66" s="22"/>
      <c r="BE66" s="22"/>
      <c r="BF66" s="22"/>
      <c r="BG66" s="22"/>
      <c r="BH66" s="22"/>
      <c r="BI66" s="22"/>
      <c r="BJ66" s="22"/>
      <c r="BM66" s="22"/>
    </row>
    <row r="67" spans="9:65" x14ac:dyDescent="0.25">
      <c r="Z67" s="11"/>
      <c r="AA67" s="11"/>
      <c r="AB67" s="11"/>
      <c r="AC67" s="11"/>
      <c r="AD67" s="11"/>
      <c r="AE67" s="11"/>
      <c r="AF67" s="11"/>
      <c r="AG67" s="11"/>
      <c r="AH67" s="11"/>
      <c r="AI67" s="11"/>
      <c r="AJ67" s="11"/>
      <c r="AK67" s="11"/>
      <c r="AL67" s="11"/>
      <c r="BC67" s="22"/>
      <c r="BD67" s="22"/>
      <c r="BE67" s="22"/>
      <c r="BF67" s="22"/>
      <c r="BG67" s="22"/>
      <c r="BH67" s="22"/>
      <c r="BI67" s="22"/>
      <c r="BJ67" s="22"/>
      <c r="BM67" s="22"/>
    </row>
    <row r="68" spans="9:65" x14ac:dyDescent="0.25">
      <c r="Z68" s="12"/>
      <c r="AA68" s="12"/>
      <c r="AB68" s="12"/>
      <c r="AC68" s="12"/>
      <c r="AD68" s="12"/>
      <c r="AE68" s="12"/>
      <c r="AF68" s="12"/>
      <c r="AG68" s="12"/>
      <c r="AH68" s="12"/>
      <c r="AI68" s="12"/>
      <c r="AJ68" s="12"/>
      <c r="AK68" s="12"/>
      <c r="AL68" s="12"/>
      <c r="BC68" s="22"/>
      <c r="BD68" s="22"/>
      <c r="BE68" s="22"/>
      <c r="BF68" s="22"/>
      <c r="BG68" s="22"/>
      <c r="BH68" s="22"/>
      <c r="BI68" s="22"/>
      <c r="BJ68" s="22"/>
      <c r="BM68" s="22"/>
    </row>
    <row r="69" spans="9:65" x14ac:dyDescent="0.25">
      <c r="I69" s="11"/>
      <c r="J69" s="11"/>
      <c r="K69" s="11"/>
      <c r="L69" s="11"/>
      <c r="M69" s="11"/>
      <c r="N69" s="11"/>
      <c r="O69" s="11"/>
      <c r="P69" s="11"/>
      <c r="Q69" s="11"/>
      <c r="R69" s="11"/>
      <c r="Z69" s="11"/>
      <c r="AA69" s="11"/>
      <c r="AB69" s="11"/>
      <c r="AC69" s="11"/>
      <c r="AD69" s="11"/>
      <c r="AE69" s="11"/>
      <c r="AF69" s="11"/>
      <c r="AG69" s="11"/>
      <c r="AH69" s="11"/>
      <c r="AI69" s="11"/>
      <c r="AJ69" s="11"/>
      <c r="AK69" s="11"/>
      <c r="AL69" s="11"/>
      <c r="AO69" s="11"/>
      <c r="AP69" s="11"/>
      <c r="AQ69" s="11"/>
      <c r="AR69" s="11"/>
      <c r="AS69" s="11"/>
      <c r="AT69" s="11"/>
      <c r="AU69" s="11"/>
      <c r="AV69" s="11"/>
      <c r="AW69" s="11"/>
      <c r="AX69" s="11"/>
      <c r="AY69" s="11"/>
      <c r="BC69" s="25"/>
      <c r="BD69" s="25"/>
      <c r="BE69" s="25"/>
      <c r="BF69" s="25"/>
      <c r="BG69" s="25"/>
      <c r="BH69" s="25"/>
      <c r="BI69" s="22"/>
      <c r="BJ69" s="22"/>
      <c r="BM69" s="22"/>
    </row>
    <row r="70" spans="9:65" x14ac:dyDescent="0.25">
      <c r="Z70" s="11"/>
      <c r="AA70" s="11"/>
      <c r="AB70" s="11"/>
      <c r="AC70" s="11"/>
      <c r="AD70" s="11"/>
      <c r="AE70" s="11"/>
      <c r="AF70" s="11"/>
      <c r="AG70" s="11"/>
      <c r="AH70" s="11"/>
      <c r="AI70" s="11"/>
      <c r="AJ70" s="11"/>
      <c r="AK70" s="11"/>
      <c r="AL70" s="11"/>
      <c r="BC70" s="22"/>
      <c r="BD70" s="22"/>
      <c r="BE70" s="22"/>
      <c r="BF70" s="22"/>
      <c r="BG70" s="22"/>
      <c r="BH70" s="22"/>
      <c r="BI70" s="22"/>
      <c r="BJ70" s="22"/>
      <c r="BM70" s="22"/>
    </row>
    <row r="71" spans="9:65" x14ac:dyDescent="0.25">
      <c r="AL71" s="18"/>
      <c r="AO71" s="11"/>
      <c r="AP71" s="11"/>
      <c r="AQ71" s="11"/>
      <c r="AR71" s="11"/>
      <c r="AS71" s="11"/>
      <c r="AT71" s="11"/>
      <c r="AU71" s="11"/>
      <c r="AV71" s="11"/>
      <c r="AW71" s="11"/>
      <c r="AX71" s="11"/>
      <c r="AY71" s="11"/>
      <c r="BC71" s="22"/>
      <c r="BD71" s="22"/>
      <c r="BE71" s="22"/>
      <c r="BF71" s="22"/>
      <c r="BG71" s="22"/>
      <c r="BH71" s="22"/>
      <c r="BI71" s="22"/>
      <c r="BJ71" s="22"/>
      <c r="BM71" s="22"/>
    </row>
    <row r="72" spans="9:65" x14ac:dyDescent="0.25">
      <c r="I72" s="11"/>
      <c r="J72" s="11"/>
      <c r="K72" s="11"/>
      <c r="L72" s="11"/>
      <c r="M72" s="11"/>
      <c r="N72" s="11"/>
      <c r="O72" s="11"/>
      <c r="P72" s="11"/>
      <c r="Q72" s="11"/>
      <c r="R72" s="11"/>
      <c r="Z72" s="11"/>
      <c r="AA72" s="11"/>
      <c r="AB72" s="11"/>
      <c r="AC72" s="11"/>
      <c r="AD72" s="11"/>
      <c r="AE72" s="11"/>
      <c r="AF72" s="11"/>
      <c r="AG72" s="11"/>
      <c r="AH72" s="11"/>
      <c r="AI72" s="11"/>
      <c r="AJ72" s="11"/>
      <c r="AK72" s="11"/>
      <c r="AL72" s="11"/>
      <c r="AO72" s="11"/>
      <c r="AP72" s="11"/>
      <c r="AQ72" s="11"/>
      <c r="AR72" s="11"/>
      <c r="AS72" s="11"/>
      <c r="AT72" s="11"/>
      <c r="AU72" s="11"/>
      <c r="AV72" s="11"/>
      <c r="AW72" s="11"/>
      <c r="AX72" s="11"/>
      <c r="AY72" s="11"/>
      <c r="BC72" s="25"/>
      <c r="BD72" s="25"/>
      <c r="BE72" s="25"/>
      <c r="BF72" s="25"/>
      <c r="BG72" s="25"/>
      <c r="BH72" s="25"/>
      <c r="BI72" s="22"/>
      <c r="BJ72" s="22"/>
      <c r="BM72" s="22"/>
    </row>
    <row r="73" spans="9:65" x14ac:dyDescent="0.25">
      <c r="Z73" s="11"/>
      <c r="AA73" s="11"/>
      <c r="AB73" s="11"/>
      <c r="AC73" s="11"/>
      <c r="AD73" s="11"/>
      <c r="AE73" s="11"/>
      <c r="AF73" s="11"/>
      <c r="AG73" s="11"/>
      <c r="AH73" s="11"/>
      <c r="AI73" s="11"/>
      <c r="AJ73" s="11"/>
      <c r="AK73" s="11"/>
      <c r="AL73" s="11"/>
      <c r="AO73" s="11"/>
      <c r="AP73" s="11"/>
      <c r="AQ73" s="11"/>
      <c r="AR73" s="11"/>
      <c r="AS73" s="11"/>
      <c r="AT73" s="11"/>
      <c r="AU73" s="11"/>
      <c r="AV73" s="11"/>
      <c r="AW73" s="11"/>
      <c r="AX73" s="11"/>
      <c r="AY73" s="11"/>
      <c r="BC73" s="22"/>
      <c r="BD73" s="22"/>
      <c r="BE73" s="22"/>
      <c r="BF73" s="22"/>
      <c r="BG73" s="22"/>
      <c r="BH73" s="22"/>
      <c r="BI73" s="22"/>
      <c r="BJ73" s="22"/>
      <c r="BM73" s="22"/>
    </row>
    <row r="74" spans="9:65" x14ac:dyDescent="0.25">
      <c r="AL74" s="18"/>
      <c r="AO74" s="11"/>
      <c r="AP74" s="11"/>
      <c r="AQ74" s="11"/>
      <c r="AR74" s="11"/>
      <c r="AS74" s="11"/>
      <c r="AT74" s="11"/>
      <c r="AU74" s="11"/>
      <c r="AV74" s="11"/>
      <c r="AW74" s="11"/>
      <c r="AX74" s="11"/>
      <c r="AY74" s="11"/>
      <c r="BC74" s="22"/>
      <c r="BD74" s="22"/>
      <c r="BE74" s="22"/>
      <c r="BF74" s="22"/>
      <c r="BG74" s="22"/>
      <c r="BH74" s="22"/>
      <c r="BI74" s="22"/>
      <c r="BJ74" s="22"/>
      <c r="BM74" s="22"/>
    </row>
    <row r="75" spans="9:65" x14ac:dyDescent="0.25">
      <c r="AL75" s="18"/>
      <c r="AO75" s="11"/>
      <c r="AP75" s="11"/>
      <c r="AQ75" s="11"/>
      <c r="AR75" s="11"/>
      <c r="AS75" s="11"/>
      <c r="AT75" s="11"/>
      <c r="AU75" s="11"/>
      <c r="AV75" s="11"/>
      <c r="AW75" s="11"/>
      <c r="AX75" s="11"/>
      <c r="AY75" s="11"/>
      <c r="BC75" s="22"/>
      <c r="BD75" s="22"/>
      <c r="BE75" s="22"/>
      <c r="BF75" s="22"/>
      <c r="BG75" s="22"/>
      <c r="BH75" s="22"/>
      <c r="BI75" s="22"/>
      <c r="BJ75" s="22"/>
      <c r="BM75" s="22"/>
    </row>
    <row r="76" spans="9:65" x14ac:dyDescent="0.25">
      <c r="AL76" s="18"/>
      <c r="AO76" s="11"/>
      <c r="AP76" s="11"/>
      <c r="AQ76" s="11"/>
      <c r="AR76" s="11"/>
      <c r="AS76" s="11"/>
      <c r="AT76" s="11"/>
      <c r="AU76" s="11"/>
      <c r="AV76" s="11"/>
      <c r="AW76" s="11"/>
      <c r="AX76" s="11"/>
      <c r="AY76" s="11"/>
      <c r="BC76" s="22"/>
      <c r="BD76" s="22"/>
      <c r="BE76" s="22"/>
      <c r="BF76" s="22"/>
      <c r="BG76" s="22"/>
      <c r="BH76" s="22"/>
      <c r="BI76" s="22"/>
      <c r="BJ76" s="22"/>
      <c r="BM76" s="22"/>
    </row>
    <row r="77" spans="9:65" x14ac:dyDescent="0.25">
      <c r="Z77" s="11"/>
      <c r="AA77" s="11"/>
      <c r="AB77" s="11"/>
      <c r="AC77" s="11"/>
      <c r="AD77" s="11"/>
      <c r="AE77" s="11"/>
      <c r="AF77" s="11"/>
      <c r="AG77" s="11"/>
      <c r="AH77" s="11"/>
      <c r="AI77" s="11"/>
      <c r="AJ77" s="11"/>
      <c r="AK77" s="11"/>
      <c r="AL77" s="11"/>
      <c r="BC77" s="22"/>
      <c r="BD77" s="22"/>
      <c r="BE77" s="22"/>
      <c r="BF77" s="22"/>
      <c r="BG77" s="22"/>
      <c r="BH77" s="22"/>
      <c r="BI77" s="22"/>
      <c r="BJ77" s="22"/>
      <c r="BM77" s="22"/>
    </row>
    <row r="78" spans="9:65" x14ac:dyDescent="0.25">
      <c r="Z78" s="11"/>
      <c r="AA78" s="11"/>
      <c r="AB78" s="11"/>
      <c r="AC78" s="11"/>
      <c r="AD78" s="11"/>
      <c r="AE78" s="11"/>
      <c r="AF78" s="11"/>
      <c r="AG78" s="11"/>
      <c r="AH78" s="11"/>
      <c r="AI78" s="11"/>
      <c r="AJ78" s="11"/>
      <c r="AK78" s="11"/>
      <c r="AL78" s="11"/>
      <c r="BC78" s="22"/>
      <c r="BD78" s="22"/>
      <c r="BE78" s="22"/>
      <c r="BF78" s="22"/>
      <c r="BG78" s="22"/>
      <c r="BH78" s="22"/>
      <c r="BI78" s="22"/>
      <c r="BJ78" s="22"/>
      <c r="BM78" s="22"/>
    </row>
    <row r="79" spans="9:65" x14ac:dyDescent="0.25">
      <c r="Z79" s="11"/>
      <c r="AA79" s="11"/>
      <c r="AB79" s="11"/>
      <c r="AC79" s="11"/>
      <c r="AD79" s="11"/>
      <c r="AE79" s="11"/>
      <c r="AF79" s="11"/>
      <c r="AG79" s="11"/>
      <c r="AH79" s="11"/>
      <c r="AI79" s="11"/>
      <c r="AJ79" s="11"/>
      <c r="AK79" s="11"/>
      <c r="AL79" s="11"/>
      <c r="BC79" s="22"/>
      <c r="BD79" s="22"/>
      <c r="BE79" s="22"/>
      <c r="BF79" s="22"/>
      <c r="BG79" s="22"/>
      <c r="BH79" s="22"/>
      <c r="BI79" s="22"/>
      <c r="BJ79" s="22"/>
      <c r="BM79" s="22"/>
    </row>
    <row r="80" spans="9:65" x14ac:dyDescent="0.25">
      <c r="I80" s="11"/>
      <c r="J80" s="11"/>
      <c r="K80" s="11"/>
      <c r="L80" s="11"/>
      <c r="M80" s="11"/>
      <c r="N80" s="11"/>
      <c r="O80" s="11"/>
      <c r="P80" s="11"/>
      <c r="Q80" s="11"/>
      <c r="R80" s="11"/>
      <c r="Z80" s="11"/>
      <c r="AA80" s="11"/>
      <c r="AB80" s="11"/>
      <c r="AC80" s="11"/>
      <c r="AD80" s="11"/>
      <c r="AE80" s="11"/>
      <c r="AF80" s="11"/>
      <c r="AG80" s="11"/>
      <c r="AH80" s="11"/>
      <c r="AI80" s="11"/>
      <c r="AJ80" s="11"/>
      <c r="AK80" s="11"/>
      <c r="AL80" s="11"/>
      <c r="AO80" s="11"/>
      <c r="AP80" s="11"/>
      <c r="AQ80" s="11"/>
      <c r="AR80" s="11"/>
      <c r="AS80" s="11"/>
      <c r="AT80" s="11"/>
      <c r="AU80" s="11"/>
      <c r="AV80" s="11"/>
      <c r="AW80" s="11"/>
      <c r="AX80" s="11"/>
      <c r="AY80" s="11"/>
      <c r="BC80" s="25"/>
      <c r="BD80" s="25"/>
      <c r="BE80" s="25"/>
      <c r="BF80" s="25"/>
      <c r="BG80" s="25"/>
      <c r="BH80" s="25"/>
      <c r="BI80" s="22"/>
      <c r="BJ80" s="22"/>
      <c r="BM80" s="22"/>
    </row>
    <row r="81" spans="9:65" x14ac:dyDescent="0.25">
      <c r="AL81" s="18"/>
      <c r="BC81" s="22"/>
      <c r="BD81" s="22"/>
      <c r="BE81" s="22"/>
      <c r="BF81" s="22"/>
      <c r="BG81" s="22"/>
      <c r="BH81" s="22"/>
      <c r="BI81" s="22"/>
      <c r="BJ81" s="22"/>
      <c r="BM81" s="22"/>
    </row>
    <row r="82" spans="9:65" x14ac:dyDescent="0.25">
      <c r="Z82" s="11"/>
      <c r="AA82" s="11"/>
      <c r="AB82" s="11"/>
      <c r="AC82" s="11"/>
      <c r="AD82" s="11"/>
      <c r="AE82" s="11"/>
      <c r="AF82" s="11"/>
      <c r="AG82" s="11"/>
      <c r="AH82" s="11"/>
      <c r="AI82" s="11"/>
      <c r="AJ82" s="11"/>
      <c r="AK82" s="11"/>
      <c r="AL82" s="11"/>
      <c r="BC82" s="22"/>
      <c r="BD82" s="22"/>
      <c r="BE82" s="22"/>
      <c r="BF82" s="22"/>
      <c r="BG82" s="22"/>
      <c r="BH82" s="22"/>
      <c r="BI82" s="22"/>
      <c r="BJ82" s="22"/>
      <c r="BM82" s="22"/>
    </row>
    <row r="83" spans="9:65" x14ac:dyDescent="0.25">
      <c r="AL83" s="18"/>
      <c r="AO83" s="11"/>
      <c r="AP83" s="11"/>
      <c r="AQ83" s="11"/>
      <c r="AR83" s="11"/>
      <c r="AS83" s="11"/>
      <c r="AT83" s="11"/>
      <c r="AU83" s="11"/>
      <c r="AV83" s="11"/>
      <c r="AW83" s="11"/>
      <c r="AX83" s="11"/>
      <c r="AY83" s="11"/>
      <c r="BC83" s="22"/>
      <c r="BD83" s="22"/>
      <c r="BE83" s="22"/>
      <c r="BF83" s="22"/>
      <c r="BG83" s="22"/>
      <c r="BH83" s="22"/>
      <c r="BI83" s="22"/>
      <c r="BJ83" s="22"/>
      <c r="BM83" s="22"/>
    </row>
    <row r="84" spans="9:65" x14ac:dyDescent="0.25">
      <c r="Z84" s="11"/>
      <c r="AA84" s="11"/>
      <c r="AB84" s="11"/>
      <c r="AC84" s="11"/>
      <c r="AD84" s="11"/>
      <c r="AE84" s="11"/>
      <c r="AF84" s="11"/>
      <c r="AG84" s="11"/>
      <c r="AH84" s="11"/>
      <c r="AI84" s="11"/>
      <c r="AJ84" s="11"/>
      <c r="AK84" s="11"/>
      <c r="AL84" s="11"/>
      <c r="BC84" s="22"/>
      <c r="BD84" s="22"/>
      <c r="BE84" s="22"/>
      <c r="BF84" s="22"/>
      <c r="BG84" s="22"/>
      <c r="BH84" s="22"/>
      <c r="BI84" s="22"/>
      <c r="BJ84" s="22"/>
      <c r="BM84" s="22"/>
    </row>
    <row r="85" spans="9:65" x14ac:dyDescent="0.25">
      <c r="Z85" s="11"/>
      <c r="AA85" s="11"/>
      <c r="AB85" s="11"/>
      <c r="AC85" s="11"/>
      <c r="AD85" s="11"/>
      <c r="AE85" s="11"/>
      <c r="AF85" s="11"/>
      <c r="AG85" s="11"/>
      <c r="AH85" s="11"/>
      <c r="AI85" s="11"/>
      <c r="AJ85" s="11"/>
      <c r="AK85" s="11"/>
      <c r="AL85" s="11"/>
      <c r="AO85" s="11"/>
      <c r="AP85" s="11"/>
      <c r="AQ85" s="11"/>
      <c r="AR85" s="11"/>
      <c r="AS85" s="11"/>
      <c r="AT85" s="11"/>
      <c r="AU85" s="11"/>
      <c r="AV85" s="11"/>
      <c r="AW85" s="11"/>
      <c r="AX85" s="11"/>
      <c r="AY85" s="11"/>
      <c r="BC85" s="22"/>
      <c r="BD85" s="22"/>
      <c r="BE85" s="22"/>
      <c r="BF85" s="22"/>
      <c r="BG85" s="22"/>
      <c r="BH85" s="22"/>
      <c r="BI85" s="22"/>
      <c r="BJ85" s="22"/>
      <c r="BM85" s="22"/>
    </row>
    <row r="86" spans="9:65" x14ac:dyDescent="0.25">
      <c r="Z86" s="11"/>
      <c r="AA86" s="11"/>
      <c r="AB86" s="11"/>
      <c r="AC86" s="11"/>
      <c r="AD86" s="11"/>
      <c r="AE86" s="11"/>
      <c r="AF86" s="11"/>
      <c r="AG86" s="11"/>
      <c r="AH86" s="11"/>
      <c r="AI86" s="11"/>
      <c r="AJ86" s="11"/>
      <c r="AK86" s="11"/>
      <c r="AL86" s="11"/>
      <c r="BC86" s="22"/>
      <c r="BD86" s="22"/>
      <c r="BE86" s="22"/>
      <c r="BF86" s="22"/>
      <c r="BG86" s="22"/>
      <c r="BH86" s="22"/>
      <c r="BI86" s="22"/>
      <c r="BJ86" s="22"/>
      <c r="BM86" s="22"/>
    </row>
    <row r="87" spans="9:65" x14ac:dyDescent="0.25">
      <c r="AL87" s="18"/>
      <c r="BC87" s="22"/>
      <c r="BD87" s="22"/>
      <c r="BE87" s="22"/>
      <c r="BF87" s="22"/>
      <c r="BG87" s="22"/>
      <c r="BH87" s="22"/>
      <c r="BI87" s="22"/>
      <c r="BJ87" s="22"/>
      <c r="BM87" s="22"/>
    </row>
    <row r="88" spans="9:65" x14ac:dyDescent="0.25">
      <c r="AL88" s="18"/>
      <c r="BC88" s="22"/>
      <c r="BD88" s="22"/>
      <c r="BE88" s="22"/>
      <c r="BF88" s="22"/>
      <c r="BG88" s="22"/>
      <c r="BH88" s="22"/>
      <c r="BI88" s="22"/>
      <c r="BJ88" s="22"/>
      <c r="BM88" s="22"/>
    </row>
    <row r="89" spans="9:65" x14ac:dyDescent="0.25">
      <c r="AL89" s="18"/>
      <c r="BC89" s="22"/>
      <c r="BD89" s="22"/>
      <c r="BE89" s="22"/>
      <c r="BF89" s="22"/>
      <c r="BG89" s="22"/>
      <c r="BH89" s="22"/>
      <c r="BI89" s="22"/>
      <c r="BJ89" s="22"/>
      <c r="BM89" s="22"/>
    </row>
    <row r="90" spans="9:65" x14ac:dyDescent="0.25">
      <c r="I90" s="11"/>
      <c r="J90" s="11"/>
      <c r="K90" s="11"/>
      <c r="L90" s="11"/>
      <c r="M90" s="11"/>
      <c r="N90" s="11"/>
      <c r="O90" s="11"/>
      <c r="P90" s="11"/>
      <c r="Q90" s="11"/>
      <c r="R90" s="11"/>
      <c r="Z90" s="11"/>
      <c r="AA90" s="11"/>
      <c r="AB90" s="11"/>
      <c r="AC90" s="11"/>
      <c r="AD90" s="11"/>
      <c r="AE90" s="11"/>
      <c r="AF90" s="11"/>
      <c r="AG90" s="11"/>
      <c r="AH90" s="11"/>
      <c r="AI90" s="11"/>
      <c r="AJ90" s="11"/>
      <c r="AK90" s="11"/>
      <c r="AL90" s="11"/>
      <c r="AO90" s="11"/>
      <c r="AP90" s="11"/>
      <c r="AQ90" s="11"/>
      <c r="AR90" s="11"/>
      <c r="AS90" s="11"/>
      <c r="AT90" s="11"/>
      <c r="AU90" s="11"/>
      <c r="AV90" s="11"/>
      <c r="AW90" s="11"/>
      <c r="AX90" s="11"/>
      <c r="AY90" s="11"/>
      <c r="BC90" s="22"/>
      <c r="BD90" s="22"/>
      <c r="BE90" s="22"/>
      <c r="BF90" s="22"/>
      <c r="BG90" s="22"/>
      <c r="BH90" s="22"/>
      <c r="BI90" s="22"/>
      <c r="BJ90" s="22"/>
      <c r="BM90" s="22"/>
    </row>
    <row r="91" spans="9:65" x14ac:dyDescent="0.25">
      <c r="Z91" s="11"/>
      <c r="AA91" s="11"/>
      <c r="AB91" s="11"/>
      <c r="AC91" s="11"/>
      <c r="AD91" s="11"/>
      <c r="AE91" s="11"/>
      <c r="AF91" s="11"/>
      <c r="AG91" s="11"/>
      <c r="AH91" s="11"/>
      <c r="AI91" s="11"/>
      <c r="AJ91" s="11"/>
      <c r="AK91" s="11"/>
      <c r="AL91" s="11"/>
      <c r="AO91" s="11"/>
      <c r="AP91" s="11"/>
      <c r="AQ91" s="11"/>
      <c r="AR91" s="11"/>
      <c r="AS91" s="11"/>
      <c r="AT91" s="11"/>
      <c r="AU91" s="11"/>
      <c r="AV91" s="11"/>
      <c r="AW91" s="11"/>
      <c r="AX91" s="11"/>
      <c r="AY91" s="11"/>
      <c r="BC91" s="22"/>
      <c r="BD91" s="22"/>
      <c r="BE91" s="22"/>
      <c r="BF91" s="22"/>
      <c r="BG91" s="22"/>
      <c r="BH91" s="22"/>
      <c r="BI91" s="22"/>
      <c r="BJ91" s="22"/>
      <c r="BM91" s="22"/>
    </row>
    <row r="92" spans="9:65" x14ac:dyDescent="0.25">
      <c r="Z92" s="11"/>
      <c r="AA92" s="11"/>
      <c r="AB92" s="11"/>
      <c r="AC92" s="11"/>
      <c r="AD92" s="11"/>
      <c r="AE92" s="11"/>
      <c r="AF92" s="11"/>
      <c r="AG92" s="11"/>
      <c r="AH92" s="11"/>
      <c r="AI92" s="11"/>
      <c r="AJ92" s="11"/>
      <c r="AK92" s="11"/>
      <c r="AL92" s="11"/>
      <c r="BC92" s="22"/>
      <c r="BD92" s="22"/>
      <c r="BE92" s="22"/>
      <c r="BF92" s="22"/>
      <c r="BG92" s="22"/>
      <c r="BH92" s="22"/>
      <c r="BI92" s="22"/>
      <c r="BJ92" s="22"/>
      <c r="BM92" s="22"/>
    </row>
    <row r="93" spans="9:65" x14ac:dyDescent="0.25">
      <c r="Z93" s="12"/>
      <c r="AA93" s="12"/>
      <c r="AB93" s="12"/>
      <c r="AC93" s="12"/>
      <c r="AD93" s="12"/>
      <c r="AE93" s="12"/>
      <c r="AF93" s="12"/>
      <c r="AG93" s="12"/>
      <c r="AH93" s="12"/>
      <c r="AI93" s="12"/>
      <c r="AJ93" s="12"/>
      <c r="AK93" s="12"/>
      <c r="AL93" s="12"/>
      <c r="BC93" s="22"/>
      <c r="BD93" s="22"/>
      <c r="BE93" s="22"/>
      <c r="BF93" s="22"/>
      <c r="BG93" s="22"/>
      <c r="BH93" s="22"/>
      <c r="BI93" s="22"/>
      <c r="BJ93" s="22"/>
      <c r="BM93" s="22"/>
    </row>
    <row r="94" spans="9:65" x14ac:dyDescent="0.25">
      <c r="AL94" s="18"/>
      <c r="AO94" s="11"/>
      <c r="AP94" s="11"/>
      <c r="AQ94" s="11"/>
      <c r="AR94" s="11"/>
      <c r="AS94" s="11"/>
      <c r="AT94" s="11"/>
      <c r="AU94" s="11"/>
      <c r="AV94" s="11"/>
      <c r="AW94" s="11"/>
      <c r="AX94" s="11"/>
      <c r="AY94" s="11"/>
      <c r="BC94" s="22"/>
      <c r="BD94" s="22"/>
      <c r="BE94" s="22"/>
      <c r="BF94" s="22"/>
      <c r="BG94" s="22"/>
      <c r="BH94" s="22"/>
      <c r="BI94" s="22"/>
      <c r="BJ94" s="22"/>
      <c r="BM94" s="22"/>
    </row>
    <row r="95" spans="9:65" x14ac:dyDescent="0.25">
      <c r="Z95" s="11"/>
      <c r="AA95" s="11"/>
      <c r="AB95" s="11"/>
      <c r="AC95" s="11"/>
      <c r="AD95" s="11"/>
      <c r="AE95" s="11"/>
      <c r="AF95" s="11"/>
      <c r="AG95" s="11"/>
      <c r="AH95" s="11"/>
      <c r="AI95" s="11"/>
      <c r="AJ95" s="11"/>
      <c r="AK95" s="11"/>
      <c r="AL95" s="11"/>
      <c r="BC95" s="22"/>
      <c r="BD95" s="22"/>
      <c r="BE95" s="22"/>
      <c r="BF95" s="22"/>
      <c r="BG95" s="22"/>
      <c r="BH95" s="22"/>
      <c r="BI95" s="22"/>
      <c r="BJ95" s="22"/>
      <c r="BM95" s="22"/>
    </row>
    <row r="96" spans="9:65" x14ac:dyDescent="0.25">
      <c r="Z96" s="12"/>
      <c r="AA96" s="12"/>
      <c r="AB96" s="12"/>
      <c r="AC96" s="12"/>
      <c r="AD96" s="12"/>
      <c r="AE96" s="12"/>
      <c r="AF96" s="12"/>
      <c r="AG96" s="12"/>
      <c r="AH96" s="12"/>
      <c r="AI96" s="12"/>
      <c r="AJ96" s="12"/>
      <c r="AK96" s="12"/>
      <c r="AL96" s="12"/>
      <c r="AO96" s="11"/>
      <c r="AP96" s="11"/>
      <c r="AQ96" s="11"/>
      <c r="AR96" s="11"/>
      <c r="AS96" s="11"/>
      <c r="AT96" s="11"/>
      <c r="AU96" s="11"/>
      <c r="AV96" s="11"/>
      <c r="AW96" s="11"/>
      <c r="AX96" s="11"/>
      <c r="AY96" s="11"/>
      <c r="BC96" s="22"/>
      <c r="BD96" s="22"/>
      <c r="BE96" s="22"/>
      <c r="BF96" s="22"/>
      <c r="BG96" s="22"/>
      <c r="BH96" s="22"/>
      <c r="BI96" s="22"/>
      <c r="BJ96" s="22"/>
      <c r="BM96" s="22"/>
    </row>
    <row r="97" spans="9:65" x14ac:dyDescent="0.25">
      <c r="AL97" s="18"/>
      <c r="AO97" s="11"/>
      <c r="AP97" s="11"/>
      <c r="AQ97" s="11"/>
      <c r="AR97" s="11"/>
      <c r="AS97" s="11"/>
      <c r="AT97" s="11"/>
      <c r="AU97" s="11"/>
      <c r="AV97" s="11"/>
      <c r="AW97" s="11"/>
      <c r="AX97" s="11"/>
      <c r="AY97" s="11"/>
      <c r="BC97" s="22"/>
      <c r="BD97" s="22"/>
      <c r="BE97" s="22"/>
      <c r="BF97" s="22"/>
      <c r="BG97" s="22"/>
      <c r="BH97" s="22"/>
      <c r="BI97" s="22"/>
      <c r="BJ97" s="22"/>
      <c r="BM97" s="22"/>
    </row>
    <row r="98" spans="9:65" x14ac:dyDescent="0.25">
      <c r="I98" s="11"/>
      <c r="J98" s="11"/>
      <c r="K98" s="11"/>
      <c r="L98" s="11"/>
      <c r="M98" s="11"/>
      <c r="N98" s="11"/>
      <c r="O98" s="11"/>
      <c r="P98" s="11"/>
      <c r="Q98" s="11"/>
      <c r="R98" s="11"/>
      <c r="Z98" s="11"/>
      <c r="AA98" s="11"/>
      <c r="AB98" s="11"/>
      <c r="AC98" s="11"/>
      <c r="AD98" s="11"/>
      <c r="AE98" s="11"/>
      <c r="AF98" s="11"/>
      <c r="AG98" s="11"/>
      <c r="AH98" s="11"/>
      <c r="AI98" s="11"/>
      <c r="AJ98" s="11"/>
      <c r="AK98" s="11"/>
      <c r="AL98" s="11"/>
      <c r="AO98" s="11"/>
      <c r="AP98" s="11"/>
      <c r="AQ98" s="11"/>
      <c r="AR98" s="11"/>
      <c r="AS98" s="11"/>
      <c r="AT98" s="11"/>
      <c r="AU98" s="11"/>
      <c r="AV98" s="11"/>
      <c r="AW98" s="11"/>
      <c r="AX98" s="11"/>
      <c r="AY98" s="11"/>
      <c r="BC98" s="22"/>
      <c r="BD98" s="22"/>
      <c r="BE98" s="22"/>
      <c r="BF98" s="22"/>
      <c r="BG98" s="22"/>
      <c r="BH98" s="22"/>
      <c r="BI98" s="22"/>
      <c r="BJ98" s="22"/>
      <c r="BM98" s="22"/>
    </row>
    <row r="99" spans="9:65" x14ac:dyDescent="0.25">
      <c r="Z99" s="12"/>
      <c r="AA99" s="12"/>
      <c r="AB99" s="12"/>
      <c r="AC99" s="12"/>
      <c r="AD99" s="12"/>
      <c r="AE99" s="12"/>
      <c r="AF99" s="12"/>
      <c r="AG99" s="12"/>
      <c r="AH99" s="12"/>
      <c r="AI99" s="12"/>
      <c r="AJ99" s="12"/>
      <c r="AK99" s="12"/>
      <c r="AL99" s="12"/>
      <c r="AO99" s="11"/>
      <c r="AP99" s="11"/>
      <c r="AQ99" s="11"/>
      <c r="AR99" s="11"/>
      <c r="AS99" s="11"/>
      <c r="AT99" s="11"/>
      <c r="AU99" s="11"/>
      <c r="AV99" s="11"/>
      <c r="AW99" s="11"/>
      <c r="AX99" s="11"/>
      <c r="AY99" s="11"/>
      <c r="BC99" s="22"/>
      <c r="BD99" s="22"/>
      <c r="BE99" s="22"/>
      <c r="BF99" s="22"/>
      <c r="BG99" s="22"/>
      <c r="BH99" s="22"/>
      <c r="BI99" s="22"/>
      <c r="BJ99" s="22"/>
      <c r="BM99" s="22"/>
    </row>
    <row r="100" spans="9:65" x14ac:dyDescent="0.25">
      <c r="Z100" s="11"/>
      <c r="AA100" s="11"/>
      <c r="AB100" s="11"/>
      <c r="AC100" s="11"/>
      <c r="AD100" s="11"/>
      <c r="AE100" s="11"/>
      <c r="AF100" s="11"/>
      <c r="AG100" s="11"/>
      <c r="AH100" s="11"/>
      <c r="AI100" s="11"/>
      <c r="AJ100" s="11"/>
      <c r="AK100" s="11"/>
      <c r="AL100" s="11"/>
      <c r="AO100" s="11"/>
      <c r="AP100" s="11"/>
      <c r="AQ100" s="11"/>
      <c r="AR100" s="11"/>
      <c r="AS100" s="11"/>
      <c r="AT100" s="11"/>
      <c r="AU100" s="11"/>
      <c r="AV100" s="11"/>
      <c r="AW100" s="11"/>
      <c r="AX100" s="11"/>
      <c r="AY100" s="11"/>
      <c r="BC100" s="22"/>
      <c r="BD100" s="22"/>
      <c r="BE100" s="22"/>
      <c r="BF100" s="22"/>
      <c r="BG100" s="22"/>
      <c r="BH100" s="22"/>
      <c r="BI100" s="22"/>
      <c r="BJ100" s="22"/>
      <c r="BM100" s="22"/>
    </row>
    <row r="101" spans="9:65" x14ac:dyDescent="0.25">
      <c r="Z101" s="11"/>
      <c r="AA101" s="11"/>
      <c r="AB101" s="11"/>
      <c r="AC101" s="11"/>
      <c r="AD101" s="11"/>
      <c r="AE101" s="11"/>
      <c r="AF101" s="11"/>
      <c r="AG101" s="11"/>
      <c r="AH101" s="11"/>
      <c r="AI101" s="11"/>
      <c r="AJ101" s="11"/>
      <c r="AK101" s="11"/>
      <c r="AL101" s="11"/>
      <c r="AO101" s="11"/>
      <c r="AP101" s="11"/>
      <c r="AQ101" s="11"/>
      <c r="AR101" s="11"/>
      <c r="AS101" s="11"/>
      <c r="AT101" s="11"/>
      <c r="AU101" s="11"/>
      <c r="AV101" s="11"/>
      <c r="AW101" s="11"/>
      <c r="AX101" s="11"/>
      <c r="AY101" s="11"/>
      <c r="BC101" s="22"/>
      <c r="BD101" s="22"/>
      <c r="BE101" s="22"/>
      <c r="BF101" s="22"/>
      <c r="BG101" s="22"/>
      <c r="BH101" s="22"/>
      <c r="BI101" s="22"/>
      <c r="BJ101" s="22"/>
      <c r="BM101" s="22"/>
    </row>
    <row r="102" spans="9:65" x14ac:dyDescent="0.25">
      <c r="Z102" s="11"/>
      <c r="AA102" s="11"/>
      <c r="AB102" s="11"/>
      <c r="AC102" s="11"/>
      <c r="AD102" s="11"/>
      <c r="AE102" s="11"/>
      <c r="AF102" s="11"/>
      <c r="AG102" s="11"/>
      <c r="AH102" s="11"/>
      <c r="AI102" s="11"/>
      <c r="AJ102" s="11"/>
      <c r="AK102" s="11"/>
      <c r="AL102" s="11"/>
      <c r="BC102" s="22"/>
      <c r="BD102" s="22"/>
      <c r="BE102" s="22"/>
      <c r="BF102" s="22"/>
      <c r="BG102" s="22"/>
      <c r="BH102" s="22"/>
      <c r="BI102" s="22"/>
      <c r="BJ102" s="22"/>
      <c r="BM102" s="22"/>
    </row>
    <row r="103" spans="9:65" x14ac:dyDescent="0.25">
      <c r="AL103" s="18"/>
      <c r="AO103" s="11"/>
      <c r="AP103" s="11"/>
      <c r="AQ103" s="11"/>
      <c r="AR103" s="11"/>
      <c r="AS103" s="11"/>
      <c r="AT103" s="11"/>
      <c r="AU103" s="11"/>
      <c r="AV103" s="11"/>
      <c r="AW103" s="11"/>
      <c r="AX103" s="11"/>
      <c r="AY103" s="11"/>
      <c r="BC103" s="22"/>
      <c r="BD103" s="22"/>
      <c r="BE103" s="22"/>
      <c r="BF103" s="22"/>
      <c r="BG103" s="22"/>
      <c r="BH103" s="22"/>
      <c r="BI103" s="22"/>
      <c r="BJ103" s="22"/>
      <c r="BM103" s="22"/>
    </row>
    <row r="104" spans="9:65" x14ac:dyDescent="0.25">
      <c r="Z104" s="11"/>
      <c r="AA104" s="11"/>
      <c r="AB104" s="11"/>
      <c r="AC104" s="11"/>
      <c r="AD104" s="11"/>
      <c r="AE104" s="11"/>
      <c r="AF104" s="11"/>
      <c r="AG104" s="11"/>
      <c r="AH104" s="11"/>
      <c r="AI104" s="11"/>
      <c r="AJ104" s="11"/>
      <c r="AK104" s="11"/>
      <c r="AL104" s="11"/>
      <c r="AO104" s="11"/>
      <c r="AP104" s="11"/>
      <c r="AQ104" s="11"/>
      <c r="AR104" s="11"/>
      <c r="AS104" s="11"/>
      <c r="AT104" s="11"/>
      <c r="AU104" s="11"/>
      <c r="AV104" s="11"/>
      <c r="AW104" s="11"/>
      <c r="AX104" s="11"/>
      <c r="AY104" s="11"/>
      <c r="BC104" s="22"/>
      <c r="BD104" s="22"/>
      <c r="BE104" s="22"/>
      <c r="BF104" s="22"/>
      <c r="BG104" s="22"/>
      <c r="BH104" s="22"/>
      <c r="BI104" s="22"/>
      <c r="BJ104" s="22"/>
      <c r="BM104" s="22"/>
    </row>
    <row r="105" spans="9:65" x14ac:dyDescent="0.25">
      <c r="Z105" s="11"/>
      <c r="AA105" s="11"/>
      <c r="AB105" s="11"/>
      <c r="AC105" s="11"/>
      <c r="AD105" s="11"/>
      <c r="AE105" s="11"/>
      <c r="AF105" s="11"/>
      <c r="AG105" s="11"/>
      <c r="AH105" s="11"/>
      <c r="AI105" s="11"/>
      <c r="AJ105" s="11"/>
      <c r="AK105" s="11"/>
      <c r="AL105" s="11"/>
      <c r="BC105" s="22"/>
      <c r="BD105" s="22"/>
      <c r="BE105" s="22"/>
      <c r="BF105" s="22"/>
      <c r="BG105" s="22"/>
      <c r="BH105" s="22"/>
      <c r="BI105" s="22"/>
      <c r="BJ105" s="22"/>
      <c r="BM105" s="22"/>
    </row>
    <row r="106" spans="9:65" x14ac:dyDescent="0.25">
      <c r="Z106" s="11"/>
      <c r="AA106" s="11"/>
      <c r="AB106" s="11"/>
      <c r="AC106" s="11"/>
      <c r="AD106" s="11"/>
      <c r="AE106" s="11"/>
      <c r="AF106" s="11"/>
      <c r="AG106" s="11"/>
      <c r="AH106" s="11"/>
      <c r="AI106" s="11"/>
      <c r="AJ106" s="11"/>
      <c r="AK106" s="11"/>
      <c r="AL106" s="11"/>
      <c r="AO106" s="11"/>
      <c r="AP106" s="11"/>
      <c r="AQ106" s="11"/>
      <c r="AR106" s="11"/>
      <c r="AS106" s="11"/>
      <c r="AT106" s="11"/>
      <c r="AU106" s="11"/>
      <c r="AV106" s="11"/>
      <c r="AW106" s="11"/>
      <c r="AX106" s="11"/>
      <c r="AY106" s="11"/>
      <c r="BC106" s="22"/>
      <c r="BD106" s="22"/>
      <c r="BE106" s="22"/>
      <c r="BF106" s="22"/>
      <c r="BG106" s="22"/>
      <c r="BH106" s="22"/>
      <c r="BI106" s="22"/>
      <c r="BJ106" s="22"/>
      <c r="BM106" s="22"/>
    </row>
    <row r="107" spans="9:65" x14ac:dyDescent="0.25">
      <c r="AL107" s="18"/>
      <c r="BC107" s="25"/>
      <c r="BD107" s="25"/>
      <c r="BE107" s="44"/>
      <c r="BF107" s="44"/>
      <c r="BG107" s="22"/>
      <c r="BH107" s="22"/>
      <c r="BI107" s="22"/>
      <c r="BJ107" s="22"/>
      <c r="BM107" s="22"/>
    </row>
    <row r="108" spans="9:65" x14ac:dyDescent="0.25">
      <c r="Z108" s="11"/>
      <c r="AA108" s="11"/>
      <c r="AB108" s="11"/>
      <c r="AC108" s="11"/>
      <c r="AD108" s="11"/>
      <c r="AE108" s="11"/>
      <c r="AF108" s="11"/>
      <c r="AG108" s="11"/>
      <c r="AH108" s="11"/>
      <c r="AI108" s="11"/>
      <c r="AJ108" s="11"/>
      <c r="AK108" s="11"/>
      <c r="AL108" s="11"/>
      <c r="BC108" s="22"/>
      <c r="BD108" s="25"/>
      <c r="BE108" s="25"/>
      <c r="BF108" s="25"/>
      <c r="BG108" s="25"/>
      <c r="BH108" s="25"/>
      <c r="BI108" s="22"/>
      <c r="BJ108" s="22"/>
      <c r="BM108" s="22"/>
    </row>
    <row r="109" spans="9:65" x14ac:dyDescent="0.25">
      <c r="Z109" s="11"/>
      <c r="AA109" s="11"/>
      <c r="AB109" s="11"/>
      <c r="AC109" s="11"/>
      <c r="AD109" s="11"/>
      <c r="AE109" s="11"/>
      <c r="AF109" s="11"/>
      <c r="AG109" s="11"/>
      <c r="AH109" s="11"/>
      <c r="AI109" s="11"/>
      <c r="AJ109" s="11"/>
      <c r="AK109" s="11"/>
      <c r="AL109" s="11"/>
      <c r="BC109" s="22"/>
      <c r="BD109" s="22"/>
      <c r="BE109" s="22"/>
      <c r="BF109" s="22"/>
      <c r="BG109" s="22"/>
      <c r="BH109" s="22"/>
      <c r="BI109" s="22"/>
      <c r="BJ109" s="22"/>
      <c r="BM109" s="22"/>
    </row>
    <row r="110" spans="9:65" x14ac:dyDescent="0.25">
      <c r="Z110" s="11"/>
      <c r="AA110" s="11"/>
      <c r="AB110" s="11"/>
      <c r="AC110" s="11"/>
      <c r="AD110" s="11"/>
      <c r="AE110" s="11"/>
      <c r="AF110" s="11"/>
      <c r="AG110" s="11"/>
      <c r="AH110" s="11"/>
      <c r="AI110" s="11"/>
      <c r="AJ110" s="11"/>
      <c r="AK110" s="11"/>
      <c r="AL110" s="11"/>
      <c r="BC110" s="22"/>
      <c r="BD110" s="22"/>
      <c r="BE110" s="22"/>
      <c r="BF110" s="22"/>
      <c r="BG110" s="22"/>
      <c r="BH110" s="22"/>
      <c r="BI110" s="22"/>
      <c r="BJ110" s="22"/>
      <c r="BM110" s="22"/>
    </row>
    <row r="111" spans="9:65" x14ac:dyDescent="0.25">
      <c r="AL111" s="18"/>
      <c r="AO111" s="11"/>
      <c r="AP111" s="11"/>
      <c r="AQ111" s="11"/>
      <c r="AR111" s="11"/>
      <c r="AS111" s="11"/>
      <c r="AT111" s="11"/>
      <c r="AU111" s="11"/>
      <c r="AV111" s="11"/>
      <c r="AW111" s="11"/>
      <c r="AX111" s="11"/>
      <c r="AY111" s="11"/>
      <c r="BC111" s="22"/>
      <c r="BD111" s="22"/>
      <c r="BE111" s="22"/>
      <c r="BF111" s="22"/>
      <c r="BG111" s="22"/>
      <c r="BH111" s="22"/>
      <c r="BI111" s="22"/>
      <c r="BJ111" s="22"/>
      <c r="BM111" s="22"/>
    </row>
    <row r="112" spans="9:65" x14ac:dyDescent="0.25">
      <c r="I112" s="11"/>
      <c r="J112" s="11"/>
      <c r="K112" s="11"/>
      <c r="L112" s="11"/>
      <c r="M112" s="11"/>
      <c r="N112" s="11"/>
      <c r="O112" s="11"/>
      <c r="P112" s="11"/>
      <c r="Q112" s="11"/>
      <c r="R112" s="11"/>
      <c r="Z112" s="11"/>
      <c r="AA112" s="11"/>
      <c r="AB112" s="11"/>
      <c r="AC112" s="11"/>
      <c r="AD112" s="11"/>
      <c r="AE112" s="11"/>
      <c r="AF112" s="11"/>
      <c r="AG112" s="11"/>
      <c r="AH112" s="11"/>
      <c r="AI112" s="11"/>
      <c r="AJ112" s="11"/>
      <c r="AK112" s="11"/>
      <c r="AL112" s="11"/>
      <c r="AO112" s="11"/>
      <c r="AP112" s="11"/>
      <c r="AQ112" s="11"/>
      <c r="AR112" s="11"/>
      <c r="AS112" s="11"/>
      <c r="AT112" s="11"/>
      <c r="AU112" s="11"/>
      <c r="AV112" s="11"/>
      <c r="AW112" s="11"/>
      <c r="AX112" s="11"/>
      <c r="AY112" s="11"/>
      <c r="BC112" s="25"/>
      <c r="BD112" s="25"/>
      <c r="BE112" s="25"/>
      <c r="BF112" s="25"/>
      <c r="BG112" s="25"/>
      <c r="BH112" s="25"/>
      <c r="BI112" s="22"/>
      <c r="BJ112" s="22"/>
      <c r="BM112" s="22"/>
    </row>
    <row r="113" spans="1:81" x14ac:dyDescent="0.25">
      <c r="Z113" s="11"/>
      <c r="AA113" s="11"/>
      <c r="AB113" s="11"/>
      <c r="AC113" s="11"/>
      <c r="AD113" s="11"/>
      <c r="AE113" s="11"/>
      <c r="AF113" s="11"/>
      <c r="AG113" s="11"/>
      <c r="AH113" s="11"/>
      <c r="AI113" s="11"/>
      <c r="AJ113" s="11"/>
      <c r="AK113" s="11"/>
      <c r="AL113" s="11"/>
      <c r="BC113" s="22"/>
      <c r="BD113" s="22"/>
      <c r="BE113" s="22"/>
      <c r="BF113" s="22"/>
      <c r="BG113" s="22"/>
      <c r="BH113" s="22"/>
      <c r="BI113" s="22"/>
      <c r="BJ113" s="22"/>
      <c r="BM113" s="22"/>
    </row>
    <row r="114" spans="1:81" x14ac:dyDescent="0.25">
      <c r="I114" s="11"/>
      <c r="J114" s="11"/>
      <c r="K114" s="11"/>
      <c r="L114" s="11"/>
      <c r="M114" s="11"/>
      <c r="N114" s="11"/>
      <c r="O114" s="11"/>
      <c r="P114" s="11"/>
      <c r="Q114" s="11"/>
      <c r="R114" s="11"/>
      <c r="Z114" s="11"/>
      <c r="AA114" s="11"/>
      <c r="AB114" s="11"/>
      <c r="AC114" s="11"/>
      <c r="AD114" s="11"/>
      <c r="AE114" s="11"/>
      <c r="AF114" s="11"/>
      <c r="AG114" s="11"/>
      <c r="AH114" s="11"/>
      <c r="AI114" s="11"/>
      <c r="AJ114" s="11"/>
      <c r="AK114" s="11"/>
      <c r="AL114" s="11"/>
      <c r="AO114" s="11"/>
      <c r="AP114" s="11"/>
      <c r="AQ114" s="11"/>
      <c r="AR114" s="11"/>
      <c r="AS114" s="11"/>
      <c r="AT114" s="11"/>
      <c r="AU114" s="11"/>
      <c r="AV114" s="11"/>
      <c r="AW114" s="11"/>
      <c r="AX114" s="11"/>
      <c r="AY114" s="11"/>
      <c r="BC114" s="22"/>
      <c r="BD114" s="22"/>
      <c r="BE114" s="22"/>
      <c r="BF114" s="22"/>
      <c r="BG114" s="22"/>
      <c r="BH114" s="22"/>
      <c r="BI114" s="22"/>
      <c r="BJ114" s="22"/>
      <c r="BM114" s="22"/>
    </row>
    <row r="115" spans="1:81" x14ac:dyDescent="0.25">
      <c r="I115" s="11"/>
      <c r="J115" s="11"/>
      <c r="K115" s="11"/>
      <c r="L115" s="11"/>
      <c r="M115" s="11"/>
      <c r="N115" s="11"/>
      <c r="O115" s="11"/>
      <c r="P115" s="11"/>
      <c r="Q115" s="11"/>
      <c r="R115" s="11"/>
      <c r="Z115" s="11"/>
      <c r="AA115" s="11"/>
      <c r="AB115" s="11"/>
      <c r="AC115" s="11"/>
      <c r="AD115" s="11"/>
      <c r="AE115" s="11"/>
      <c r="AF115" s="11"/>
      <c r="AG115" s="11"/>
      <c r="AH115" s="11"/>
      <c r="AI115" s="11"/>
      <c r="AJ115" s="11"/>
      <c r="AK115" s="11"/>
      <c r="AL115" s="11"/>
      <c r="AO115" s="11"/>
      <c r="AP115" s="11"/>
      <c r="AQ115" s="11"/>
      <c r="AR115" s="11"/>
      <c r="AS115" s="11"/>
      <c r="AT115" s="11"/>
      <c r="AU115" s="11"/>
      <c r="AV115" s="11"/>
      <c r="AW115" s="11"/>
      <c r="AX115" s="11"/>
      <c r="AY115" s="11"/>
      <c r="BC115" s="22"/>
      <c r="BD115" s="22"/>
      <c r="BE115" s="22"/>
      <c r="BF115" s="22"/>
      <c r="BG115" s="22"/>
      <c r="BH115" s="22"/>
      <c r="BI115" s="22"/>
      <c r="BJ115" s="22"/>
      <c r="BM115" s="22"/>
    </row>
    <row r="116" spans="1:81" x14ac:dyDescent="0.25">
      <c r="Z116" s="11"/>
      <c r="AA116" s="11"/>
      <c r="AB116" s="11"/>
      <c r="AC116" s="11"/>
      <c r="AD116" s="11"/>
      <c r="AE116" s="11"/>
      <c r="AF116" s="11"/>
      <c r="AG116" s="11"/>
      <c r="AH116" s="11"/>
      <c r="AI116" s="11"/>
      <c r="AJ116" s="11"/>
      <c r="AK116" s="11"/>
      <c r="AL116" s="11"/>
      <c r="BC116" s="22"/>
      <c r="BD116" s="22"/>
      <c r="BE116" s="22"/>
      <c r="BF116" s="22"/>
      <c r="BG116" s="22"/>
      <c r="BH116" s="22"/>
      <c r="BI116" s="22"/>
      <c r="BJ116" s="22"/>
      <c r="BM116" s="22"/>
    </row>
    <row r="117" spans="1:81" x14ac:dyDescent="0.25">
      <c r="AL117" s="18"/>
      <c r="AO117" s="11"/>
      <c r="AP117" s="11"/>
      <c r="AQ117" s="11"/>
      <c r="AR117" s="11"/>
      <c r="AS117" s="11"/>
      <c r="AT117" s="11"/>
      <c r="AU117" s="11"/>
      <c r="AV117" s="11"/>
      <c r="AW117" s="11"/>
      <c r="AX117" s="11"/>
      <c r="AY117" s="11"/>
      <c r="BC117" s="22"/>
      <c r="BD117" s="22"/>
      <c r="BE117" s="22"/>
      <c r="BF117" s="22"/>
      <c r="BG117" s="22"/>
      <c r="BH117" s="22"/>
      <c r="BI117" s="22"/>
      <c r="BJ117" s="22"/>
      <c r="BM117" s="22"/>
    </row>
    <row r="118" spans="1:81" x14ac:dyDescent="0.25">
      <c r="AL118" s="18"/>
      <c r="AO118" s="11"/>
      <c r="AP118" s="11"/>
      <c r="AQ118" s="11"/>
      <c r="AR118" s="11"/>
      <c r="AS118" s="11"/>
      <c r="AT118" s="11"/>
      <c r="AU118" s="11"/>
      <c r="AV118" s="11"/>
      <c r="AW118" s="11"/>
      <c r="AX118" s="11"/>
      <c r="AY118" s="11"/>
      <c r="BC118" s="22"/>
      <c r="BD118" s="22"/>
      <c r="BE118" s="22"/>
      <c r="BF118" s="22"/>
      <c r="BG118" s="22"/>
      <c r="BH118" s="22"/>
      <c r="BI118" s="22"/>
      <c r="BJ118" s="22"/>
      <c r="BM118" s="22"/>
    </row>
    <row r="119" spans="1:81" x14ac:dyDescent="0.25">
      <c r="AL119" s="18"/>
      <c r="AO119" s="11"/>
      <c r="AP119" s="11"/>
      <c r="AQ119" s="11"/>
      <c r="AR119" s="11"/>
      <c r="AS119" s="11"/>
      <c r="AT119" s="11"/>
      <c r="AU119" s="11"/>
      <c r="AV119" s="11"/>
      <c r="AW119" s="11"/>
      <c r="AX119" s="11"/>
      <c r="AY119" s="11"/>
      <c r="BC119" s="22"/>
      <c r="BD119" s="22"/>
      <c r="BE119" s="22"/>
      <c r="BF119" s="22"/>
      <c r="BG119" s="22"/>
      <c r="BH119" s="22"/>
      <c r="BI119" s="22"/>
      <c r="BJ119" s="22"/>
      <c r="BM119" s="22"/>
    </row>
    <row r="120" spans="1:81" x14ac:dyDescent="0.25">
      <c r="Z120" s="11"/>
      <c r="AA120" s="11"/>
      <c r="AB120" s="11"/>
      <c r="AC120" s="11"/>
      <c r="AD120" s="11"/>
      <c r="AE120" s="11"/>
      <c r="AF120" s="11"/>
      <c r="AG120" s="11"/>
      <c r="AH120" s="11"/>
      <c r="AI120" s="11"/>
      <c r="AJ120" s="11"/>
      <c r="AK120" s="11"/>
      <c r="AL120" s="11"/>
      <c r="BC120" s="22"/>
      <c r="BD120" s="22"/>
      <c r="BE120" s="22"/>
      <c r="BF120" s="22"/>
      <c r="BG120" s="22"/>
      <c r="BH120" s="22"/>
      <c r="BI120" s="22"/>
      <c r="BJ120" s="22"/>
      <c r="BM120" s="22"/>
    </row>
    <row r="121" spans="1:81" x14ac:dyDescent="0.25">
      <c r="Z121" s="11"/>
      <c r="AA121" s="11"/>
      <c r="AB121" s="11"/>
      <c r="AC121" s="11"/>
      <c r="AD121" s="11"/>
      <c r="AE121" s="11"/>
      <c r="AF121" s="11"/>
      <c r="AG121" s="11"/>
      <c r="AH121" s="11"/>
      <c r="AI121" s="11"/>
      <c r="AJ121" s="11"/>
      <c r="AK121" s="11"/>
      <c r="AL121" s="11"/>
      <c r="BC121" s="22"/>
      <c r="BD121" s="22"/>
      <c r="BE121" s="22"/>
      <c r="BF121" s="22"/>
      <c r="BG121" s="22"/>
      <c r="BH121" s="22"/>
      <c r="BI121" s="22"/>
      <c r="BJ121" s="22"/>
      <c r="BM121" s="22"/>
    </row>
    <row r="122" spans="1:81" x14ac:dyDescent="0.25">
      <c r="AO122" s="11"/>
      <c r="AP122" s="11"/>
      <c r="AQ122" s="11"/>
      <c r="AR122" s="11"/>
      <c r="AS122" s="11"/>
      <c r="AT122" s="11"/>
      <c r="AU122" s="11"/>
      <c r="AV122" s="11"/>
      <c r="AW122" s="11"/>
      <c r="AX122" s="11"/>
      <c r="AY122" s="11"/>
      <c r="BC122" s="22"/>
      <c r="BD122" s="22"/>
      <c r="BE122" s="22"/>
      <c r="BF122" s="22"/>
      <c r="BG122" s="22"/>
      <c r="BH122" s="22"/>
      <c r="BI122" s="22"/>
      <c r="BJ122" s="22"/>
      <c r="BM122" s="22"/>
    </row>
    <row r="123" spans="1:81" x14ac:dyDescent="0.25">
      <c r="Z123" s="11"/>
      <c r="AA123" s="11"/>
      <c r="AB123" s="11"/>
      <c r="AC123" s="11"/>
      <c r="AD123" s="11"/>
      <c r="AE123" s="11"/>
      <c r="AF123" s="11"/>
      <c r="AG123" s="11"/>
      <c r="AH123" s="11"/>
      <c r="AI123" s="11"/>
      <c r="AJ123" s="11"/>
      <c r="AK123" s="11"/>
      <c r="AL123" s="11"/>
      <c r="BC123" s="22"/>
      <c r="BD123" s="22"/>
      <c r="BE123" s="22"/>
      <c r="BF123" s="22"/>
      <c r="BG123" s="22"/>
      <c r="BH123" s="22"/>
      <c r="BI123" s="22"/>
      <c r="BJ123" s="22"/>
      <c r="BM123" s="22"/>
    </row>
    <row r="124" spans="1:81" x14ac:dyDescent="0.25">
      <c r="Z124" s="12"/>
      <c r="AA124" s="12"/>
      <c r="AB124" s="12"/>
      <c r="AC124" s="12"/>
      <c r="AD124" s="12"/>
      <c r="AE124" s="12"/>
      <c r="AF124" s="12"/>
      <c r="AG124" s="12"/>
      <c r="AH124" s="12"/>
      <c r="AI124" s="12"/>
      <c r="AJ124" s="12"/>
      <c r="AK124" s="12"/>
      <c r="AL124" s="12"/>
      <c r="BC124" s="22"/>
      <c r="BD124" s="22"/>
      <c r="BE124" s="22"/>
      <c r="BF124" s="22"/>
      <c r="BG124" s="22"/>
      <c r="BH124" s="22"/>
      <c r="BI124" s="22"/>
      <c r="BJ124" s="22"/>
      <c r="BM124" s="22"/>
    </row>
    <row r="127" spans="1:81" x14ac:dyDescent="0.25">
      <c r="F127" s="280"/>
      <c r="G127" s="280"/>
      <c r="H127" s="82"/>
      <c r="I127" s="281"/>
      <c r="J127" s="281"/>
      <c r="K127" s="281"/>
      <c r="L127" s="281"/>
      <c r="M127" s="281"/>
      <c r="N127" s="281"/>
      <c r="O127" s="281"/>
      <c r="P127" s="281"/>
      <c r="Q127" s="281"/>
      <c r="R127" s="281"/>
      <c r="S127" s="282"/>
      <c r="T127" s="282"/>
      <c r="U127" s="282"/>
      <c r="V127" s="282"/>
      <c r="W127" s="283"/>
      <c r="X127" s="283"/>
      <c r="Y127" s="283"/>
      <c r="Z127" s="284"/>
      <c r="AA127" s="284"/>
      <c r="AB127" s="284"/>
      <c r="AC127" s="284"/>
      <c r="AD127" s="284"/>
      <c r="AE127" s="284"/>
      <c r="AF127" s="284"/>
      <c r="AG127" s="284"/>
      <c r="AH127" s="284"/>
      <c r="AI127" s="284"/>
      <c r="AJ127" s="284"/>
      <c r="AK127" s="284"/>
      <c r="AL127" s="284"/>
      <c r="AM127" s="284"/>
      <c r="AN127" s="15"/>
      <c r="AO127" s="285"/>
      <c r="AP127" s="285"/>
      <c r="AQ127" s="285"/>
      <c r="AR127" s="285"/>
      <c r="AS127" s="285"/>
      <c r="AT127" s="285"/>
      <c r="AU127" s="285"/>
      <c r="AV127" s="285"/>
      <c r="AW127" s="285"/>
      <c r="AX127" s="285"/>
      <c r="AY127" s="285"/>
      <c r="AZ127" s="285"/>
      <c r="BA127" s="282"/>
      <c r="BB127" s="282"/>
      <c r="BC127" s="283"/>
      <c r="BD127" s="283"/>
      <c r="BE127" s="283"/>
      <c r="BF127" s="283"/>
      <c r="BG127" s="283"/>
      <c r="BH127" s="283"/>
      <c r="BI127" s="283"/>
      <c r="BJ127" s="283"/>
      <c r="BK127" s="27"/>
      <c r="BL127" s="27"/>
      <c r="BM127" s="10"/>
      <c r="BN127" s="13"/>
      <c r="BO127" s="278"/>
      <c r="BP127" s="278"/>
      <c r="BQ127" s="278"/>
      <c r="BR127" s="278"/>
      <c r="BS127" s="278"/>
      <c r="BT127" s="278"/>
      <c r="BU127" s="278"/>
      <c r="BV127" s="278"/>
      <c r="BW127" s="278"/>
      <c r="BX127" s="29"/>
      <c r="BY127" s="277"/>
      <c r="BZ127" s="277"/>
      <c r="CA127" s="277"/>
      <c r="CB127" s="277"/>
      <c r="CC127" s="277"/>
    </row>
    <row r="128" spans="1:81" x14ac:dyDescent="0.25">
      <c r="A128" s="14"/>
      <c r="B128" s="14"/>
      <c r="C128" s="16"/>
      <c r="D128" s="16"/>
      <c r="E128" s="13"/>
      <c r="AN128" s="18"/>
      <c r="AO128" s="20"/>
      <c r="AP128" s="20"/>
      <c r="AQ128" s="20"/>
      <c r="AR128" s="20"/>
      <c r="AS128" s="20"/>
      <c r="AT128" s="20"/>
      <c r="AU128" s="20"/>
      <c r="AV128" s="20"/>
      <c r="AW128" s="20"/>
      <c r="AX128" s="20"/>
      <c r="AY128" s="21"/>
      <c r="AZ128" s="18"/>
      <c r="BC128" s="22"/>
      <c r="BD128" s="22"/>
      <c r="BE128" s="22"/>
      <c r="BF128" s="22"/>
      <c r="BG128" s="22"/>
      <c r="BH128" s="22"/>
      <c r="BI128" s="22"/>
      <c r="BJ128" s="22"/>
      <c r="BM128" s="28"/>
      <c r="BN128" s="28"/>
    </row>
    <row r="129" spans="9:66" x14ac:dyDescent="0.25">
      <c r="Z129" s="11"/>
      <c r="AA129" s="11"/>
      <c r="AB129" s="11"/>
      <c r="AC129" s="11"/>
      <c r="AD129" s="11"/>
      <c r="AE129" s="11"/>
      <c r="AF129" s="11"/>
      <c r="AG129" s="11"/>
      <c r="AH129" s="11"/>
      <c r="AI129" s="11"/>
      <c r="AJ129" s="11"/>
      <c r="AK129" s="11"/>
      <c r="AL129" s="11"/>
      <c r="BC129" s="22"/>
      <c r="BD129" s="22"/>
      <c r="BE129" s="22"/>
      <c r="BF129" s="22"/>
      <c r="BG129" s="22"/>
      <c r="BH129" s="22"/>
      <c r="BI129" s="22"/>
      <c r="BJ129" s="22"/>
      <c r="BM129" s="22"/>
      <c r="BN129" s="22"/>
    </row>
    <row r="130" spans="9:66" x14ac:dyDescent="0.25">
      <c r="AO130" s="11"/>
      <c r="AP130" s="11"/>
      <c r="AQ130" s="11"/>
      <c r="AR130" s="11"/>
      <c r="AS130" s="11"/>
      <c r="AT130" s="11"/>
      <c r="AU130" s="11"/>
      <c r="AV130" s="11"/>
      <c r="AW130" s="11"/>
      <c r="AX130" s="11"/>
      <c r="AY130" s="11"/>
      <c r="BC130" s="22"/>
      <c r="BD130" s="22"/>
      <c r="BE130" s="22"/>
      <c r="BF130" s="22"/>
      <c r="BG130" s="22"/>
      <c r="BH130" s="22"/>
      <c r="BI130" s="22"/>
      <c r="BJ130" s="22"/>
      <c r="BM130" s="22"/>
      <c r="BN130" s="22"/>
    </row>
    <row r="131" spans="9:66" x14ac:dyDescent="0.25">
      <c r="I131" s="11"/>
      <c r="J131" s="11"/>
      <c r="K131" s="11"/>
      <c r="L131" s="11"/>
      <c r="M131" s="11"/>
      <c r="N131" s="11"/>
      <c r="O131" s="11"/>
      <c r="P131" s="11"/>
      <c r="Q131" s="11"/>
      <c r="R131" s="11"/>
      <c r="Z131" s="11"/>
      <c r="AA131" s="11"/>
      <c r="AB131" s="11"/>
      <c r="AC131" s="11"/>
      <c r="AD131" s="11"/>
      <c r="AE131" s="11"/>
      <c r="AF131" s="11"/>
      <c r="AG131" s="11"/>
      <c r="AH131" s="11"/>
      <c r="AI131" s="11"/>
      <c r="AJ131" s="11"/>
      <c r="AK131" s="11"/>
      <c r="AL131" s="11"/>
      <c r="AO131" s="11"/>
      <c r="AP131" s="11"/>
      <c r="AQ131" s="11"/>
      <c r="AR131" s="11"/>
      <c r="AS131" s="11"/>
      <c r="AT131" s="11"/>
      <c r="AU131" s="11"/>
      <c r="AV131" s="11"/>
      <c r="AW131" s="11"/>
      <c r="AX131" s="11"/>
      <c r="AY131" s="11"/>
      <c r="BC131" s="22"/>
      <c r="BD131" s="22"/>
      <c r="BE131" s="22"/>
      <c r="BF131" s="22"/>
      <c r="BG131" s="22"/>
      <c r="BH131" s="22"/>
      <c r="BI131" s="22"/>
      <c r="BJ131" s="22"/>
      <c r="BM131" s="22"/>
      <c r="BN131" s="22"/>
    </row>
    <row r="132" spans="9:66" x14ac:dyDescent="0.25">
      <c r="Z132" s="18"/>
      <c r="AA132" s="18"/>
      <c r="AB132" s="18"/>
      <c r="AC132" s="18"/>
      <c r="AD132" s="18"/>
      <c r="AE132" s="18"/>
      <c r="AF132" s="18"/>
      <c r="AG132" s="18"/>
      <c r="AH132" s="18"/>
      <c r="AI132" s="18"/>
      <c r="AJ132" s="18"/>
      <c r="AK132" s="18"/>
      <c r="AL132" s="18"/>
      <c r="AO132" s="11"/>
      <c r="AP132" s="11"/>
      <c r="AQ132" s="11"/>
      <c r="AR132" s="11"/>
      <c r="AS132" s="11"/>
      <c r="AT132" s="11"/>
      <c r="AU132" s="11"/>
      <c r="AV132" s="11"/>
      <c r="AW132" s="11"/>
      <c r="AX132" s="11"/>
      <c r="AY132" s="11"/>
      <c r="BC132" s="22"/>
      <c r="BD132" s="22"/>
      <c r="BE132" s="22"/>
      <c r="BF132" s="22"/>
      <c r="BG132" s="22"/>
      <c r="BH132" s="22"/>
      <c r="BI132" s="22"/>
      <c r="BJ132" s="22"/>
      <c r="BM132" s="22"/>
      <c r="BN132" s="22"/>
    </row>
    <row r="133" spans="9:66" x14ac:dyDescent="0.25">
      <c r="Z133" s="11"/>
      <c r="AA133" s="11"/>
      <c r="AB133" s="11"/>
      <c r="AC133" s="11"/>
      <c r="AD133" s="11"/>
      <c r="AE133" s="11"/>
      <c r="AF133" s="11"/>
      <c r="AG133" s="11"/>
      <c r="AH133" s="11"/>
      <c r="AI133" s="11"/>
      <c r="AJ133" s="11"/>
      <c r="AK133" s="11"/>
      <c r="AL133" s="11"/>
      <c r="BC133" s="22"/>
      <c r="BD133" s="22"/>
      <c r="BE133" s="22"/>
      <c r="BF133" s="22"/>
      <c r="BG133" s="22"/>
      <c r="BH133" s="22"/>
      <c r="BI133" s="22"/>
      <c r="BJ133" s="22"/>
      <c r="BM133" s="22"/>
      <c r="BN133" s="22"/>
    </row>
    <row r="134" spans="9:66" x14ac:dyDescent="0.25">
      <c r="Z134" s="11"/>
      <c r="AA134" s="11"/>
      <c r="AB134" s="11"/>
      <c r="AC134" s="11"/>
      <c r="AD134" s="11"/>
      <c r="AE134" s="11"/>
      <c r="AF134" s="11"/>
      <c r="AG134" s="11"/>
      <c r="AH134" s="11"/>
      <c r="AI134" s="11"/>
      <c r="AJ134" s="11"/>
      <c r="AK134" s="11"/>
      <c r="AL134" s="11"/>
      <c r="AO134" s="11"/>
      <c r="AP134" s="11"/>
      <c r="AQ134" s="11"/>
      <c r="AR134" s="11"/>
      <c r="AS134" s="11"/>
      <c r="AT134" s="11"/>
      <c r="AU134" s="11"/>
      <c r="AV134" s="11"/>
      <c r="AW134" s="11"/>
      <c r="AX134" s="11"/>
      <c r="AY134" s="11"/>
      <c r="BC134" s="22"/>
      <c r="BD134" s="22"/>
      <c r="BE134" s="22"/>
      <c r="BF134" s="22"/>
      <c r="BG134" s="22"/>
      <c r="BH134" s="22"/>
      <c r="BI134" s="22"/>
      <c r="BJ134" s="22"/>
      <c r="BM134" s="22"/>
      <c r="BN134" s="22"/>
    </row>
    <row r="135" spans="9:66" x14ac:dyDescent="0.25">
      <c r="AL135" s="18"/>
      <c r="BC135" s="22"/>
      <c r="BD135" s="22"/>
      <c r="BE135" s="22"/>
      <c r="BF135" s="22"/>
      <c r="BG135" s="22"/>
      <c r="BH135" s="22"/>
      <c r="BI135" s="22"/>
      <c r="BJ135" s="22"/>
      <c r="BM135" s="22"/>
      <c r="BN135" s="22"/>
    </row>
    <row r="136" spans="9:66" x14ac:dyDescent="0.25">
      <c r="Z136" s="11"/>
      <c r="AA136" s="11"/>
      <c r="AB136" s="11"/>
      <c r="AC136" s="11"/>
      <c r="AD136" s="11"/>
      <c r="AE136" s="11"/>
      <c r="AF136" s="11"/>
      <c r="AG136" s="11"/>
      <c r="AH136" s="11"/>
      <c r="AI136" s="11"/>
      <c r="AJ136" s="11"/>
      <c r="AK136" s="11"/>
      <c r="AL136" s="11"/>
      <c r="AO136" s="11"/>
      <c r="AP136" s="11"/>
      <c r="AQ136" s="11"/>
      <c r="AR136" s="11"/>
      <c r="AS136" s="11"/>
      <c r="AT136" s="11"/>
      <c r="AU136" s="11"/>
      <c r="AV136" s="11"/>
      <c r="AW136" s="11"/>
      <c r="AX136" s="11"/>
      <c r="AY136" s="11"/>
      <c r="BC136" s="22"/>
      <c r="BD136" s="22"/>
      <c r="BE136" s="22"/>
      <c r="BF136" s="22"/>
      <c r="BG136" s="22"/>
      <c r="BH136" s="22"/>
      <c r="BI136" s="22"/>
      <c r="BJ136" s="22"/>
      <c r="BM136" s="22"/>
      <c r="BN136" s="22"/>
    </row>
    <row r="137" spans="9:66" x14ac:dyDescent="0.25">
      <c r="Z137" s="11"/>
      <c r="AA137" s="11"/>
      <c r="AB137" s="11"/>
      <c r="AC137" s="11"/>
      <c r="AD137" s="11"/>
      <c r="AE137" s="11"/>
      <c r="AF137" s="11"/>
      <c r="AG137" s="11"/>
      <c r="AH137" s="11"/>
      <c r="AI137" s="11"/>
      <c r="AJ137" s="11"/>
      <c r="AK137" s="11"/>
      <c r="AL137" s="11"/>
      <c r="AO137" s="11"/>
      <c r="AP137" s="11"/>
      <c r="AQ137" s="11"/>
      <c r="AR137" s="11"/>
      <c r="AS137" s="11"/>
      <c r="AT137" s="11"/>
      <c r="AU137" s="11"/>
      <c r="AV137" s="11"/>
      <c r="AW137" s="11"/>
      <c r="AX137" s="11"/>
      <c r="AY137" s="11"/>
      <c r="BC137" s="22"/>
      <c r="BD137" s="22"/>
      <c r="BE137" s="22"/>
      <c r="BF137" s="22"/>
      <c r="BG137" s="22"/>
      <c r="BH137" s="22"/>
      <c r="BI137" s="22"/>
      <c r="BJ137" s="22"/>
      <c r="BM137" s="22"/>
      <c r="BN137" s="22"/>
    </row>
    <row r="138" spans="9:66" x14ac:dyDescent="0.25">
      <c r="Z138" s="11"/>
      <c r="AA138" s="11"/>
      <c r="AB138" s="11"/>
      <c r="AC138" s="11"/>
      <c r="AD138" s="11"/>
      <c r="AE138" s="11"/>
      <c r="AF138" s="11"/>
      <c r="AG138" s="11"/>
      <c r="AH138" s="11"/>
      <c r="AI138" s="11"/>
      <c r="AJ138" s="11"/>
      <c r="AK138" s="11"/>
      <c r="AL138" s="11"/>
      <c r="AO138" s="11"/>
      <c r="AP138" s="11"/>
      <c r="AQ138" s="11"/>
      <c r="AR138" s="11"/>
      <c r="AS138" s="11"/>
      <c r="AT138" s="11"/>
      <c r="AU138" s="11"/>
      <c r="AV138" s="11"/>
      <c r="AW138" s="11"/>
      <c r="AX138" s="11"/>
      <c r="AY138" s="11"/>
      <c r="BC138" s="22"/>
      <c r="BD138" s="22"/>
      <c r="BE138" s="22"/>
      <c r="BF138" s="22"/>
      <c r="BG138" s="22"/>
      <c r="BH138" s="22"/>
      <c r="BI138" s="22"/>
      <c r="BJ138" s="22"/>
      <c r="BM138" s="22"/>
      <c r="BN138" s="22"/>
    </row>
    <row r="139" spans="9:66" x14ac:dyDescent="0.25">
      <c r="Z139" s="11"/>
      <c r="AA139" s="11"/>
      <c r="AB139" s="11"/>
      <c r="AC139" s="11"/>
      <c r="AD139" s="11"/>
      <c r="AE139" s="11"/>
      <c r="AF139" s="11"/>
      <c r="AG139" s="11"/>
      <c r="AH139" s="11"/>
      <c r="AI139" s="11"/>
      <c r="AJ139" s="11"/>
      <c r="AK139" s="11"/>
      <c r="AL139" s="11"/>
      <c r="AO139" s="11"/>
      <c r="AP139" s="11"/>
      <c r="AQ139" s="11"/>
      <c r="AR139" s="11"/>
      <c r="AS139" s="11"/>
      <c r="AT139" s="11"/>
      <c r="AU139" s="11"/>
      <c r="AV139" s="11"/>
      <c r="AW139" s="11"/>
      <c r="AX139" s="11"/>
      <c r="AY139" s="11"/>
      <c r="BC139" s="22"/>
      <c r="BD139" s="22"/>
      <c r="BE139" s="22"/>
      <c r="BF139" s="22"/>
      <c r="BG139" s="22"/>
      <c r="BH139" s="22"/>
      <c r="BI139" s="22"/>
      <c r="BJ139" s="22"/>
      <c r="BM139" s="22"/>
      <c r="BN139" s="22"/>
    </row>
    <row r="140" spans="9:66" x14ac:dyDescent="0.25">
      <c r="Z140" s="11"/>
      <c r="AA140" s="11"/>
      <c r="AB140" s="11"/>
      <c r="AC140" s="11"/>
      <c r="AD140" s="11"/>
      <c r="AE140" s="11"/>
      <c r="AF140" s="11"/>
      <c r="AG140" s="11"/>
      <c r="AH140" s="11"/>
      <c r="AI140" s="11"/>
      <c r="AJ140" s="11"/>
      <c r="AK140" s="11"/>
      <c r="AL140" s="11"/>
      <c r="BC140" s="22"/>
      <c r="BD140" s="22"/>
      <c r="BE140" s="22"/>
      <c r="BF140" s="22"/>
      <c r="BG140" s="22"/>
      <c r="BH140" s="22"/>
      <c r="BI140" s="22"/>
      <c r="BJ140" s="22"/>
      <c r="BM140" s="22"/>
      <c r="BN140" s="22"/>
    </row>
    <row r="141" spans="9:66" x14ac:dyDescent="0.25">
      <c r="AL141" s="18"/>
      <c r="BC141" s="22"/>
      <c r="BD141" s="22"/>
      <c r="BE141" s="22"/>
      <c r="BF141" s="22"/>
      <c r="BG141" s="22"/>
      <c r="BH141" s="22"/>
      <c r="BI141" s="22"/>
      <c r="BJ141" s="22"/>
      <c r="BM141" s="22"/>
      <c r="BN141" s="22"/>
    </row>
    <row r="142" spans="9:66" x14ac:dyDescent="0.25">
      <c r="I142" s="11"/>
      <c r="J142" s="11"/>
      <c r="K142" s="11"/>
      <c r="L142" s="11"/>
      <c r="M142" s="11"/>
      <c r="N142" s="11"/>
      <c r="O142" s="11"/>
      <c r="P142" s="11"/>
      <c r="Q142" s="11"/>
      <c r="R142" s="11"/>
      <c r="Z142" s="11"/>
      <c r="AA142" s="11"/>
      <c r="AB142" s="11"/>
      <c r="AC142" s="11"/>
      <c r="AD142" s="11"/>
      <c r="AE142" s="11"/>
      <c r="AF142" s="11"/>
      <c r="AG142" s="11"/>
      <c r="AH142" s="11"/>
      <c r="AI142" s="11"/>
      <c r="AJ142" s="11"/>
      <c r="AK142" s="11"/>
      <c r="AL142" s="11"/>
      <c r="AO142" s="11"/>
      <c r="AP142" s="11"/>
      <c r="AQ142" s="11"/>
      <c r="AR142" s="11"/>
      <c r="AS142" s="11"/>
      <c r="AT142" s="11"/>
      <c r="AU142" s="11"/>
      <c r="AV142" s="11"/>
      <c r="AW142" s="11"/>
      <c r="AX142" s="11"/>
      <c r="AY142" s="11"/>
      <c r="BC142" s="22"/>
      <c r="BD142" s="22"/>
      <c r="BE142" s="22"/>
      <c r="BF142" s="22"/>
      <c r="BG142" s="22"/>
      <c r="BH142" s="22"/>
      <c r="BI142" s="22"/>
      <c r="BJ142" s="22"/>
      <c r="BM142" s="22"/>
      <c r="BN142" s="22"/>
    </row>
    <row r="143" spans="9:66" x14ac:dyDescent="0.25">
      <c r="I143" s="11"/>
      <c r="J143" s="11"/>
      <c r="K143" s="11"/>
      <c r="L143" s="11"/>
      <c r="M143" s="11"/>
      <c r="N143" s="11"/>
      <c r="O143" s="11"/>
      <c r="P143" s="11"/>
      <c r="Q143" s="11"/>
      <c r="R143" s="11"/>
      <c r="Z143" s="11"/>
      <c r="AA143" s="11"/>
      <c r="AB143" s="11"/>
      <c r="AC143" s="11"/>
      <c r="AD143" s="11"/>
      <c r="AE143" s="11"/>
      <c r="AF143" s="11"/>
      <c r="AG143" s="11"/>
      <c r="AH143" s="11"/>
      <c r="AI143" s="11"/>
      <c r="AJ143" s="11"/>
      <c r="AK143" s="11"/>
      <c r="AL143" s="11"/>
      <c r="AO143" s="11"/>
      <c r="AP143" s="11"/>
      <c r="AQ143" s="11"/>
      <c r="AR143" s="11"/>
      <c r="AS143" s="11"/>
      <c r="AT143" s="11"/>
      <c r="AU143" s="11"/>
      <c r="AV143" s="11"/>
      <c r="AW143" s="11"/>
      <c r="AX143" s="11"/>
      <c r="AY143" s="11"/>
      <c r="BC143" s="22"/>
      <c r="BD143" s="22"/>
      <c r="BE143" s="22"/>
      <c r="BF143" s="22"/>
      <c r="BG143" s="22"/>
      <c r="BH143" s="22"/>
      <c r="BI143" s="22"/>
      <c r="BJ143" s="22"/>
      <c r="BM143" s="22"/>
      <c r="BN143" s="22"/>
    </row>
    <row r="144" spans="9:66" x14ac:dyDescent="0.25">
      <c r="AL144" s="18"/>
      <c r="BC144" s="22"/>
      <c r="BD144" s="22"/>
      <c r="BE144" s="22"/>
      <c r="BF144" s="22"/>
      <c r="BG144" s="22"/>
      <c r="BH144" s="22"/>
      <c r="BI144" s="22"/>
      <c r="BJ144" s="22"/>
      <c r="BM144" s="22"/>
      <c r="BN144" s="22"/>
    </row>
    <row r="145" spans="9:66" x14ac:dyDescent="0.25">
      <c r="AL145" s="18"/>
      <c r="AO145" s="11"/>
      <c r="AP145" s="11"/>
      <c r="AQ145" s="11"/>
      <c r="AR145" s="11"/>
      <c r="AS145" s="11"/>
      <c r="AT145" s="11"/>
      <c r="AU145" s="11"/>
      <c r="AV145" s="11"/>
      <c r="AW145" s="11"/>
      <c r="AX145" s="11"/>
      <c r="AY145" s="11"/>
      <c r="BC145" s="22"/>
      <c r="BD145" s="22"/>
      <c r="BE145" s="22"/>
      <c r="BF145" s="22"/>
      <c r="BG145" s="22"/>
      <c r="BH145" s="22"/>
      <c r="BI145" s="22"/>
      <c r="BJ145" s="22"/>
      <c r="BM145" s="22"/>
      <c r="BN145" s="22"/>
    </row>
    <row r="146" spans="9:66" x14ac:dyDescent="0.25">
      <c r="Z146" s="11"/>
      <c r="AA146" s="11"/>
      <c r="AB146" s="11"/>
      <c r="AC146" s="11"/>
      <c r="AD146" s="11"/>
      <c r="AE146" s="11"/>
      <c r="AF146" s="11"/>
      <c r="AG146" s="11"/>
      <c r="AH146" s="11"/>
      <c r="AI146" s="11"/>
      <c r="AJ146" s="11"/>
      <c r="AK146" s="11"/>
      <c r="AL146" s="11"/>
      <c r="BC146" s="22"/>
      <c r="BD146" s="22"/>
      <c r="BE146" s="22"/>
      <c r="BF146" s="22"/>
      <c r="BG146" s="22"/>
      <c r="BH146" s="22"/>
      <c r="BI146" s="22"/>
      <c r="BJ146" s="22"/>
      <c r="BM146" s="22"/>
      <c r="BN146" s="22"/>
    </row>
    <row r="147" spans="9:66" x14ac:dyDescent="0.25">
      <c r="AL147" s="18"/>
      <c r="BC147" s="22"/>
      <c r="BD147" s="22"/>
      <c r="BE147" s="22"/>
      <c r="BF147" s="22"/>
      <c r="BG147" s="22"/>
      <c r="BH147" s="22"/>
      <c r="BI147" s="22"/>
      <c r="BJ147" s="22"/>
      <c r="BM147" s="22"/>
      <c r="BN147" s="22"/>
    </row>
    <row r="148" spans="9:66" x14ac:dyDescent="0.25">
      <c r="I148" s="11"/>
      <c r="J148" s="11"/>
      <c r="K148" s="11"/>
      <c r="L148" s="11"/>
      <c r="M148" s="11"/>
      <c r="N148" s="11"/>
      <c r="O148" s="11"/>
      <c r="P148" s="11"/>
      <c r="Q148" s="11"/>
      <c r="R148" s="11"/>
      <c r="Z148" s="11"/>
      <c r="AA148" s="11"/>
      <c r="AB148" s="11"/>
      <c r="AC148" s="11"/>
      <c r="AD148" s="11"/>
      <c r="AE148" s="11"/>
      <c r="AF148" s="11"/>
      <c r="AG148" s="11"/>
      <c r="AH148" s="11"/>
      <c r="AI148" s="11"/>
      <c r="AJ148" s="11"/>
      <c r="AK148" s="11"/>
      <c r="AL148" s="11"/>
      <c r="AO148" s="11"/>
      <c r="AP148" s="11"/>
      <c r="AQ148" s="11"/>
      <c r="AR148" s="11"/>
      <c r="AS148" s="11"/>
      <c r="AT148" s="11"/>
      <c r="AU148" s="11"/>
      <c r="AV148" s="11"/>
      <c r="AW148" s="11"/>
      <c r="AX148" s="11"/>
      <c r="AY148" s="11"/>
      <c r="BC148" s="22"/>
      <c r="BD148" s="22"/>
      <c r="BE148" s="22"/>
      <c r="BF148" s="22"/>
      <c r="BG148" s="22"/>
      <c r="BH148" s="22"/>
      <c r="BI148" s="22"/>
      <c r="BJ148" s="22"/>
      <c r="BM148" s="22"/>
      <c r="BN148" s="22"/>
    </row>
    <row r="149" spans="9:66" x14ac:dyDescent="0.25">
      <c r="I149" s="11"/>
      <c r="J149" s="11"/>
      <c r="K149" s="11"/>
      <c r="L149" s="11"/>
      <c r="M149" s="11"/>
      <c r="N149" s="11"/>
      <c r="O149" s="11"/>
      <c r="P149" s="11"/>
      <c r="Q149" s="11"/>
      <c r="R149" s="11"/>
      <c r="Z149" s="11"/>
      <c r="AA149" s="11"/>
      <c r="AB149" s="11"/>
      <c r="AC149" s="11"/>
      <c r="AD149" s="11"/>
      <c r="AE149" s="11"/>
      <c r="AF149" s="11"/>
      <c r="AG149" s="11"/>
      <c r="AH149" s="11"/>
      <c r="AI149" s="11"/>
      <c r="AJ149" s="11"/>
      <c r="AK149" s="11"/>
      <c r="AL149" s="11"/>
      <c r="AO149" s="11"/>
      <c r="AP149" s="11"/>
      <c r="AQ149" s="11"/>
      <c r="AR149" s="11"/>
      <c r="AS149" s="11"/>
      <c r="AT149" s="11"/>
      <c r="AU149" s="11"/>
      <c r="AV149" s="11"/>
      <c r="AW149" s="11"/>
      <c r="AX149" s="11"/>
      <c r="AY149" s="11"/>
      <c r="BC149" s="22"/>
      <c r="BD149" s="22"/>
      <c r="BE149" s="22"/>
      <c r="BF149" s="22"/>
      <c r="BG149" s="22"/>
      <c r="BH149" s="22"/>
      <c r="BI149" s="22"/>
      <c r="BJ149" s="22"/>
      <c r="BM149" s="22"/>
      <c r="BN149" s="22"/>
    </row>
    <row r="150" spans="9:66" x14ac:dyDescent="0.25">
      <c r="Z150" s="11"/>
      <c r="AA150" s="11"/>
      <c r="AB150" s="11"/>
      <c r="AC150" s="11"/>
      <c r="AD150" s="11"/>
      <c r="AE150" s="11"/>
      <c r="AF150" s="11"/>
      <c r="AG150" s="11"/>
      <c r="AH150" s="11"/>
      <c r="AI150" s="11"/>
      <c r="AJ150" s="11"/>
      <c r="AK150" s="11"/>
      <c r="AL150" s="11"/>
      <c r="AO150" s="11"/>
      <c r="AP150" s="11"/>
      <c r="AQ150" s="11"/>
      <c r="AR150" s="11"/>
      <c r="AS150" s="11"/>
      <c r="AT150" s="11"/>
      <c r="AU150" s="11"/>
      <c r="AV150" s="11"/>
      <c r="AW150" s="11"/>
      <c r="AX150" s="11"/>
      <c r="AY150" s="11"/>
      <c r="BC150" s="22"/>
      <c r="BD150" s="22"/>
      <c r="BE150" s="22"/>
      <c r="BF150" s="22"/>
      <c r="BG150" s="22"/>
      <c r="BH150" s="22"/>
      <c r="BI150" s="22"/>
      <c r="BJ150" s="22"/>
      <c r="BM150" s="22"/>
      <c r="BN150" s="22"/>
    </row>
    <row r="151" spans="9:66" x14ac:dyDescent="0.25">
      <c r="I151" s="11"/>
      <c r="J151" s="11"/>
      <c r="K151" s="11"/>
      <c r="L151" s="11"/>
      <c r="M151" s="11"/>
      <c r="N151" s="11"/>
      <c r="O151" s="11"/>
      <c r="P151" s="11"/>
      <c r="Q151" s="11"/>
      <c r="R151" s="11"/>
      <c r="Z151" s="11"/>
      <c r="AA151" s="11"/>
      <c r="AB151" s="11"/>
      <c r="AC151" s="11"/>
      <c r="AD151" s="11"/>
      <c r="AE151" s="11"/>
      <c r="AF151" s="11"/>
      <c r="AG151" s="11"/>
      <c r="AH151" s="11"/>
      <c r="AI151" s="11"/>
      <c r="AJ151" s="11"/>
      <c r="AK151" s="11"/>
      <c r="AL151" s="11"/>
      <c r="AO151" s="11"/>
      <c r="AP151" s="11"/>
      <c r="AQ151" s="11"/>
      <c r="AR151" s="11"/>
      <c r="AS151" s="11"/>
      <c r="AT151" s="11"/>
      <c r="AU151" s="11"/>
      <c r="AV151" s="11"/>
      <c r="AW151" s="11"/>
      <c r="AX151" s="11"/>
      <c r="AY151" s="11"/>
      <c r="BC151" s="22"/>
      <c r="BD151" s="22"/>
      <c r="BE151" s="22"/>
      <c r="BF151" s="22"/>
      <c r="BG151" s="22"/>
      <c r="BH151" s="22"/>
      <c r="BI151" s="22"/>
      <c r="BJ151" s="22"/>
      <c r="BM151" s="22"/>
      <c r="BN151" s="22"/>
    </row>
    <row r="152" spans="9:66" x14ac:dyDescent="0.25">
      <c r="I152" s="11"/>
      <c r="J152" s="11"/>
      <c r="K152" s="11"/>
      <c r="L152" s="11"/>
      <c r="M152" s="11"/>
      <c r="N152" s="11"/>
      <c r="O152" s="11"/>
      <c r="P152" s="11"/>
      <c r="Q152" s="11"/>
      <c r="R152" s="11"/>
      <c r="Z152" s="11"/>
      <c r="AA152" s="11"/>
      <c r="AB152" s="11"/>
      <c r="AC152" s="11"/>
      <c r="AD152" s="11"/>
      <c r="AE152" s="11"/>
      <c r="AF152" s="11"/>
      <c r="AG152" s="11"/>
      <c r="AH152" s="11"/>
      <c r="AI152" s="11"/>
      <c r="AJ152" s="11"/>
      <c r="AK152" s="11"/>
      <c r="AL152" s="11"/>
      <c r="AO152" s="11"/>
      <c r="AP152" s="11"/>
      <c r="AQ152" s="11"/>
      <c r="AR152" s="11"/>
      <c r="AS152" s="11"/>
      <c r="AT152" s="11"/>
      <c r="AU152" s="11"/>
      <c r="AV152" s="11"/>
      <c r="AW152" s="11"/>
      <c r="AX152" s="11"/>
      <c r="AY152" s="11"/>
      <c r="BC152" s="22"/>
      <c r="BD152" s="22"/>
      <c r="BE152" s="22"/>
      <c r="BF152" s="22"/>
      <c r="BG152" s="22"/>
      <c r="BH152" s="22"/>
      <c r="BI152" s="22"/>
      <c r="BJ152" s="22"/>
      <c r="BM152" s="22"/>
      <c r="BN152" s="22"/>
    </row>
    <row r="153" spans="9:66" x14ac:dyDescent="0.25">
      <c r="AL153" s="18"/>
      <c r="BC153" s="22"/>
      <c r="BD153" s="22"/>
      <c r="BE153" s="22"/>
      <c r="BF153" s="22"/>
      <c r="BG153" s="22"/>
      <c r="BH153" s="22"/>
      <c r="BI153" s="22"/>
      <c r="BJ153" s="22"/>
      <c r="BM153" s="22"/>
      <c r="BN153" s="22"/>
    </row>
    <row r="154" spans="9:66" x14ac:dyDescent="0.25">
      <c r="Z154" s="11"/>
      <c r="AA154" s="11"/>
      <c r="AB154" s="11"/>
      <c r="AC154" s="11"/>
      <c r="AD154" s="11"/>
      <c r="AE154" s="11"/>
      <c r="AF154" s="11"/>
      <c r="AG154" s="11"/>
      <c r="AH154" s="11"/>
      <c r="AI154" s="11"/>
      <c r="AJ154" s="11"/>
      <c r="AK154" s="11"/>
      <c r="AL154" s="11"/>
      <c r="AO154" s="11"/>
      <c r="AP154" s="11"/>
      <c r="AQ154" s="11"/>
      <c r="AR154" s="11"/>
      <c r="AS154" s="11"/>
      <c r="AT154" s="11"/>
      <c r="AU154" s="11"/>
      <c r="AV154" s="11"/>
      <c r="AW154" s="11"/>
      <c r="AX154" s="11"/>
      <c r="AY154" s="11"/>
      <c r="BC154" s="22"/>
      <c r="BD154" s="22"/>
      <c r="BE154" s="22"/>
      <c r="BF154" s="22"/>
      <c r="BG154" s="22"/>
      <c r="BH154" s="22"/>
      <c r="BI154" s="22"/>
      <c r="BJ154" s="22"/>
      <c r="BM154" s="22"/>
      <c r="BN154" s="22"/>
    </row>
    <row r="155" spans="9:66" x14ac:dyDescent="0.25">
      <c r="Z155" s="11"/>
      <c r="AA155" s="11"/>
      <c r="AB155" s="11"/>
      <c r="AC155" s="11"/>
      <c r="AD155" s="11"/>
      <c r="AE155" s="11"/>
      <c r="AF155" s="11"/>
      <c r="AG155" s="11"/>
      <c r="AH155" s="11"/>
      <c r="AI155" s="11"/>
      <c r="AJ155" s="11"/>
      <c r="AK155" s="11"/>
      <c r="AL155" s="11"/>
      <c r="AO155" s="11"/>
      <c r="AP155" s="11"/>
      <c r="AQ155" s="11"/>
      <c r="AR155" s="11"/>
      <c r="AS155" s="11"/>
      <c r="AT155" s="11"/>
      <c r="AU155" s="11"/>
      <c r="AV155" s="11"/>
      <c r="AW155" s="11"/>
      <c r="AX155" s="11"/>
      <c r="AY155" s="11"/>
      <c r="BC155" s="22"/>
      <c r="BD155" s="22"/>
      <c r="BE155" s="22"/>
      <c r="BF155" s="22"/>
      <c r="BG155" s="22"/>
      <c r="BH155" s="22"/>
      <c r="BI155" s="22"/>
      <c r="BJ155" s="22"/>
      <c r="BM155" s="22"/>
      <c r="BN155" s="22"/>
    </row>
    <row r="156" spans="9:66" x14ac:dyDescent="0.25">
      <c r="AL156" s="18"/>
      <c r="AO156" s="11"/>
      <c r="AP156" s="11"/>
      <c r="AQ156" s="11"/>
      <c r="AR156" s="11"/>
      <c r="AS156" s="11"/>
      <c r="AT156" s="11"/>
      <c r="AU156" s="11"/>
      <c r="AV156" s="11"/>
      <c r="AW156" s="11"/>
      <c r="AX156" s="11"/>
      <c r="AY156" s="11"/>
      <c r="BC156" s="22"/>
      <c r="BD156" s="22"/>
      <c r="BE156" s="22"/>
      <c r="BF156" s="22"/>
      <c r="BG156" s="22"/>
      <c r="BH156" s="22"/>
      <c r="BI156" s="22"/>
      <c r="BJ156" s="22"/>
      <c r="BM156" s="22"/>
      <c r="BN156" s="22"/>
    </row>
    <row r="157" spans="9:66" x14ac:dyDescent="0.25">
      <c r="Z157" s="11"/>
      <c r="AA157" s="11"/>
      <c r="AB157" s="11"/>
      <c r="AC157" s="11"/>
      <c r="AD157" s="11"/>
      <c r="AE157" s="11"/>
      <c r="AF157" s="11"/>
      <c r="AG157" s="11"/>
      <c r="AH157" s="11"/>
      <c r="AI157" s="11"/>
      <c r="AJ157" s="11"/>
      <c r="AK157" s="11"/>
      <c r="AL157" s="11"/>
      <c r="BC157" s="22"/>
      <c r="BD157" s="22"/>
      <c r="BE157" s="22"/>
      <c r="BF157" s="22"/>
      <c r="BG157" s="22"/>
      <c r="BH157" s="22"/>
      <c r="BI157" s="22"/>
      <c r="BJ157" s="22"/>
      <c r="BM157" s="22"/>
      <c r="BN157" s="22"/>
    </row>
    <row r="158" spans="9:66" x14ac:dyDescent="0.25">
      <c r="AL158" s="18"/>
      <c r="AO158" s="11"/>
      <c r="AP158" s="11"/>
      <c r="AQ158" s="11"/>
      <c r="AR158" s="11"/>
      <c r="AS158" s="11"/>
      <c r="AT158" s="11"/>
      <c r="AU158" s="11"/>
      <c r="AV158" s="11"/>
      <c r="AW158" s="11"/>
      <c r="AX158" s="11"/>
      <c r="AY158" s="11"/>
      <c r="BC158" s="22"/>
      <c r="BD158" s="22"/>
      <c r="BE158" s="22"/>
      <c r="BF158" s="22"/>
      <c r="BG158" s="22"/>
      <c r="BH158" s="22"/>
      <c r="BI158" s="22"/>
      <c r="BJ158" s="22"/>
      <c r="BM158" s="22"/>
      <c r="BN158" s="22"/>
    </row>
    <row r="159" spans="9:66" x14ac:dyDescent="0.25">
      <c r="AL159" s="18"/>
      <c r="AO159" s="11"/>
      <c r="AP159" s="11"/>
      <c r="AQ159" s="11"/>
      <c r="AR159" s="11"/>
      <c r="AS159" s="11"/>
      <c r="AT159" s="11"/>
      <c r="AU159" s="11"/>
      <c r="AV159" s="11"/>
      <c r="AW159" s="11"/>
      <c r="AX159" s="11"/>
      <c r="AY159" s="11"/>
      <c r="BC159" s="22"/>
      <c r="BD159" s="22"/>
      <c r="BE159" s="22"/>
      <c r="BF159" s="22"/>
      <c r="BG159" s="22"/>
      <c r="BH159" s="22"/>
      <c r="BI159" s="22"/>
      <c r="BJ159" s="22"/>
      <c r="BM159" s="22"/>
      <c r="BN159" s="22"/>
    </row>
    <row r="160" spans="9:66" x14ac:dyDescent="0.25">
      <c r="AL160" s="18"/>
      <c r="AO160" s="11"/>
      <c r="AP160" s="11"/>
      <c r="AQ160" s="11"/>
      <c r="AR160" s="11"/>
      <c r="AS160" s="11"/>
      <c r="AT160" s="11"/>
      <c r="AU160" s="11"/>
      <c r="AV160" s="11"/>
      <c r="AW160" s="11"/>
      <c r="AX160" s="11"/>
      <c r="AY160" s="11"/>
      <c r="BC160" s="22"/>
      <c r="BD160" s="22"/>
      <c r="BE160" s="22"/>
      <c r="BF160" s="22"/>
      <c r="BG160" s="22"/>
      <c r="BH160" s="22"/>
      <c r="BI160" s="22"/>
      <c r="BJ160" s="22"/>
      <c r="BM160" s="22"/>
      <c r="BN160" s="22"/>
    </row>
    <row r="161" spans="21:66" x14ac:dyDescent="0.25">
      <c r="AL161" s="18"/>
      <c r="BC161" s="22"/>
      <c r="BD161" s="22"/>
      <c r="BE161" s="22"/>
      <c r="BF161" s="22"/>
      <c r="BG161" s="22"/>
      <c r="BH161" s="22"/>
      <c r="BI161" s="22"/>
      <c r="BJ161" s="22"/>
      <c r="BM161" s="22"/>
      <c r="BN161" s="22"/>
    </row>
    <row r="162" spans="21:66" x14ac:dyDescent="0.25">
      <c r="AL162" s="18"/>
      <c r="AO162" s="11"/>
      <c r="AP162" s="11"/>
      <c r="AQ162" s="11"/>
      <c r="AR162" s="11"/>
      <c r="AS162" s="11"/>
      <c r="AT162" s="11"/>
      <c r="AU162" s="11"/>
      <c r="AV162" s="11"/>
      <c r="AW162" s="11"/>
      <c r="AX162" s="11"/>
      <c r="AY162" s="11"/>
      <c r="BC162" s="22"/>
      <c r="BD162" s="22"/>
      <c r="BE162" s="22"/>
      <c r="BF162" s="22"/>
      <c r="BG162" s="22"/>
      <c r="BH162" s="22"/>
      <c r="BI162" s="22"/>
      <c r="BJ162" s="22"/>
      <c r="BM162" s="22"/>
      <c r="BN162" s="22"/>
    </row>
    <row r="163" spans="21:66" x14ac:dyDescent="0.25">
      <c r="Z163" s="11"/>
      <c r="AA163" s="11"/>
      <c r="AB163" s="11"/>
      <c r="AC163" s="11"/>
      <c r="AD163" s="11"/>
      <c r="AE163" s="11"/>
      <c r="AF163" s="11"/>
      <c r="AG163" s="11"/>
      <c r="AH163" s="11"/>
      <c r="AI163" s="11"/>
      <c r="AJ163" s="11"/>
      <c r="AK163" s="11"/>
      <c r="AL163" s="11"/>
      <c r="AO163" s="11"/>
      <c r="AP163" s="11"/>
      <c r="AQ163" s="11"/>
      <c r="AR163" s="11"/>
      <c r="AS163" s="11"/>
      <c r="AT163" s="11"/>
      <c r="AU163" s="11"/>
      <c r="AV163" s="11"/>
      <c r="AW163" s="11"/>
      <c r="AX163" s="11"/>
      <c r="AY163" s="11"/>
      <c r="BC163" s="22"/>
      <c r="BD163" s="22"/>
      <c r="BE163" s="22"/>
      <c r="BF163" s="22"/>
      <c r="BG163" s="22"/>
      <c r="BH163" s="22"/>
      <c r="BI163" s="22"/>
      <c r="BJ163" s="22"/>
      <c r="BM163" s="22"/>
      <c r="BN163" s="22"/>
    </row>
    <row r="164" spans="21:66" x14ac:dyDescent="0.25">
      <c r="AL164" s="18"/>
      <c r="AO164" s="11"/>
      <c r="AP164" s="11"/>
      <c r="AQ164" s="11"/>
      <c r="AR164" s="11"/>
      <c r="AS164" s="11"/>
      <c r="AT164" s="11"/>
      <c r="AU164" s="11"/>
      <c r="AV164" s="11"/>
      <c r="AW164" s="11"/>
      <c r="AX164" s="11"/>
      <c r="AY164" s="11"/>
      <c r="BC164" s="22"/>
      <c r="BD164" s="22"/>
      <c r="BE164" s="22"/>
      <c r="BF164" s="22"/>
      <c r="BG164" s="22"/>
      <c r="BH164" s="22"/>
      <c r="BI164" s="22"/>
      <c r="BJ164" s="22"/>
      <c r="BM164" s="22"/>
      <c r="BN164" s="22"/>
    </row>
    <row r="165" spans="21:66" x14ac:dyDescent="0.25">
      <c r="AL165" s="18"/>
      <c r="AO165" s="11"/>
      <c r="AP165" s="11"/>
      <c r="AQ165" s="11"/>
      <c r="AR165" s="11"/>
      <c r="AS165" s="11"/>
      <c r="AT165" s="11"/>
      <c r="AU165" s="11"/>
      <c r="AV165" s="11"/>
      <c r="AW165" s="11"/>
      <c r="AX165" s="11"/>
      <c r="AY165" s="11"/>
      <c r="BC165" s="22"/>
      <c r="BD165" s="22"/>
      <c r="BE165" s="22"/>
      <c r="BF165" s="22"/>
      <c r="BG165" s="22"/>
      <c r="BH165" s="22"/>
      <c r="BI165" s="22"/>
      <c r="BJ165" s="22"/>
      <c r="BM165" s="22"/>
      <c r="BN165" s="22"/>
    </row>
    <row r="166" spans="21:66" x14ac:dyDescent="0.25">
      <c r="AL166" s="18"/>
      <c r="AO166" s="11"/>
      <c r="AP166" s="11"/>
      <c r="AQ166" s="11"/>
      <c r="AR166" s="11"/>
      <c r="AS166" s="11"/>
      <c r="AT166" s="11"/>
      <c r="AU166" s="11"/>
      <c r="AV166" s="11"/>
      <c r="AW166" s="11"/>
      <c r="AX166" s="11"/>
      <c r="AY166" s="11"/>
      <c r="BC166" s="22"/>
      <c r="BD166" s="22"/>
      <c r="BE166" s="22"/>
      <c r="BF166" s="22"/>
      <c r="BG166" s="22"/>
      <c r="BH166" s="22"/>
      <c r="BI166" s="22"/>
      <c r="BJ166" s="22"/>
      <c r="BM166" s="22"/>
      <c r="BN166" s="22"/>
    </row>
    <row r="167" spans="21:66" x14ac:dyDescent="0.25">
      <c r="U167" s="19"/>
      <c r="AL167" s="18"/>
      <c r="BC167" s="22"/>
      <c r="BD167" s="22"/>
      <c r="BE167" s="22"/>
      <c r="BF167" s="22"/>
      <c r="BG167" s="22"/>
      <c r="BH167" s="22"/>
      <c r="BI167" s="22"/>
      <c r="BJ167" s="22"/>
      <c r="BM167" s="22"/>
      <c r="BN167" s="22"/>
    </row>
    <row r="168" spans="21:66" x14ac:dyDescent="0.25">
      <c r="Z168" s="11"/>
      <c r="AA168" s="11"/>
      <c r="AB168" s="11"/>
      <c r="AC168" s="11"/>
      <c r="AD168" s="11"/>
      <c r="AE168" s="11"/>
      <c r="AF168" s="11"/>
      <c r="AG168" s="11"/>
      <c r="AH168" s="11"/>
      <c r="AI168" s="11"/>
      <c r="AJ168" s="11"/>
      <c r="AK168" s="11"/>
      <c r="AL168" s="11"/>
      <c r="BC168" s="22"/>
      <c r="BD168" s="22"/>
      <c r="BE168" s="22"/>
      <c r="BF168" s="22"/>
      <c r="BG168" s="22"/>
      <c r="BH168" s="22"/>
      <c r="BI168" s="22"/>
      <c r="BJ168" s="22"/>
      <c r="BM168" s="22"/>
      <c r="BN168" s="22"/>
    </row>
    <row r="169" spans="21:66" x14ac:dyDescent="0.25">
      <c r="AL169" s="18"/>
      <c r="AO169" s="11"/>
      <c r="AP169" s="11"/>
      <c r="AQ169" s="11"/>
      <c r="AR169" s="11"/>
      <c r="AS169" s="11"/>
      <c r="AT169" s="11"/>
      <c r="AU169" s="11"/>
      <c r="AV169" s="11"/>
      <c r="AW169" s="11"/>
      <c r="AX169" s="11"/>
      <c r="AY169" s="11"/>
      <c r="BC169" s="22"/>
      <c r="BD169" s="22"/>
      <c r="BE169" s="22"/>
      <c r="BF169" s="22"/>
      <c r="BG169" s="22"/>
      <c r="BH169" s="22"/>
      <c r="BI169" s="22"/>
      <c r="BJ169" s="22"/>
      <c r="BM169" s="22"/>
      <c r="BN169" s="22"/>
    </row>
    <row r="170" spans="21:66" x14ac:dyDescent="0.25">
      <c r="Z170" s="11"/>
      <c r="AA170" s="11"/>
      <c r="AB170" s="11"/>
      <c r="AC170" s="11"/>
      <c r="AD170" s="11"/>
      <c r="AE170" s="11"/>
      <c r="AF170" s="11"/>
      <c r="AG170" s="11"/>
      <c r="AH170" s="11"/>
      <c r="AI170" s="11"/>
      <c r="AJ170" s="11"/>
      <c r="AK170" s="11"/>
      <c r="AL170" s="11"/>
      <c r="BC170" s="22"/>
      <c r="BD170" s="22"/>
      <c r="BE170" s="22"/>
      <c r="BF170" s="22"/>
      <c r="BG170" s="22"/>
      <c r="BH170" s="22"/>
      <c r="BI170" s="22"/>
      <c r="BJ170" s="22"/>
      <c r="BM170" s="22"/>
      <c r="BN170" s="22"/>
    </row>
    <row r="171" spans="21:66" x14ac:dyDescent="0.25">
      <c r="AL171" s="18"/>
      <c r="BC171" s="22"/>
      <c r="BD171" s="22"/>
      <c r="BE171" s="22"/>
      <c r="BF171" s="22"/>
      <c r="BG171" s="22"/>
      <c r="BH171" s="22"/>
      <c r="BI171" s="22"/>
      <c r="BJ171" s="22"/>
      <c r="BM171" s="22"/>
      <c r="BN171" s="22"/>
    </row>
    <row r="172" spans="21:66" x14ac:dyDescent="0.25">
      <c r="Z172" s="11"/>
      <c r="AA172" s="11"/>
      <c r="AB172" s="11"/>
      <c r="AC172" s="11"/>
      <c r="AD172" s="11"/>
      <c r="AE172" s="11"/>
      <c r="AF172" s="11"/>
      <c r="AG172" s="11"/>
      <c r="AH172" s="11"/>
      <c r="AI172" s="11"/>
      <c r="AJ172" s="11"/>
      <c r="AK172" s="11"/>
      <c r="AL172" s="11"/>
      <c r="BC172" s="22"/>
      <c r="BD172" s="22"/>
      <c r="BE172" s="22"/>
      <c r="BF172" s="22"/>
      <c r="BG172" s="22"/>
      <c r="BH172" s="22"/>
      <c r="BI172" s="22"/>
      <c r="BJ172" s="22"/>
      <c r="BM172" s="22"/>
      <c r="BN172" s="22"/>
    </row>
    <row r="173" spans="21:66" x14ac:dyDescent="0.25">
      <c r="Z173" s="11"/>
      <c r="AA173" s="11"/>
      <c r="AB173" s="11"/>
      <c r="AC173" s="11"/>
      <c r="AD173" s="11"/>
      <c r="AE173" s="11"/>
      <c r="AF173" s="11"/>
      <c r="AG173" s="11"/>
      <c r="AH173" s="11"/>
      <c r="AI173" s="11"/>
      <c r="AJ173" s="11"/>
      <c r="AK173" s="11"/>
      <c r="AL173" s="11"/>
      <c r="AO173" s="11"/>
      <c r="AP173" s="11"/>
      <c r="AQ173" s="11"/>
      <c r="AR173" s="11"/>
      <c r="AS173" s="11"/>
      <c r="AT173" s="11"/>
      <c r="AU173" s="11"/>
      <c r="AV173" s="11"/>
      <c r="AW173" s="11"/>
      <c r="AX173" s="11"/>
      <c r="AY173" s="11"/>
      <c r="BC173" s="22"/>
      <c r="BD173" s="22"/>
      <c r="BE173" s="22"/>
      <c r="BF173" s="22"/>
      <c r="BG173" s="22"/>
      <c r="BH173" s="22"/>
      <c r="BI173" s="22"/>
      <c r="BJ173" s="22"/>
      <c r="BM173" s="22"/>
      <c r="BN173" s="22"/>
    </row>
    <row r="174" spans="21:66" x14ac:dyDescent="0.25">
      <c r="Z174" s="11"/>
      <c r="AA174" s="11"/>
      <c r="AB174" s="11"/>
      <c r="AC174" s="11"/>
      <c r="AD174" s="11"/>
      <c r="AE174" s="11"/>
      <c r="AF174" s="11"/>
      <c r="AG174" s="11"/>
      <c r="AH174" s="11"/>
      <c r="AI174" s="11"/>
      <c r="AJ174" s="11"/>
      <c r="AK174" s="11"/>
      <c r="AL174" s="11"/>
      <c r="BC174" s="22"/>
      <c r="BD174" s="22"/>
      <c r="BE174" s="22"/>
      <c r="BF174" s="22"/>
      <c r="BG174" s="22"/>
      <c r="BH174" s="22"/>
      <c r="BI174" s="22"/>
      <c r="BJ174" s="22"/>
      <c r="BM174" s="22"/>
      <c r="BN174" s="22"/>
    </row>
    <row r="175" spans="21:66" x14ac:dyDescent="0.25">
      <c r="Z175" s="11"/>
      <c r="AA175" s="11"/>
      <c r="AB175" s="11"/>
      <c r="AC175" s="11"/>
      <c r="AD175" s="11"/>
      <c r="AE175" s="11"/>
      <c r="AF175" s="11"/>
      <c r="AG175" s="11"/>
      <c r="AH175" s="11"/>
      <c r="AI175" s="11"/>
      <c r="AJ175" s="11"/>
      <c r="AK175" s="11"/>
      <c r="AL175" s="11"/>
      <c r="BC175" s="22"/>
      <c r="BD175" s="26"/>
      <c r="BE175" s="22"/>
      <c r="BF175" s="22"/>
      <c r="BG175" s="22"/>
      <c r="BH175" s="22"/>
      <c r="BI175" s="22"/>
      <c r="BJ175" s="22"/>
      <c r="BM175" s="22"/>
      <c r="BN175" s="22"/>
    </row>
    <row r="176" spans="21:66" x14ac:dyDescent="0.25">
      <c r="Z176" s="11"/>
      <c r="AA176" s="11"/>
      <c r="AB176" s="11"/>
      <c r="AC176" s="11"/>
      <c r="AD176" s="11"/>
      <c r="AE176" s="11"/>
      <c r="AF176" s="11"/>
      <c r="AG176" s="11"/>
      <c r="AH176" s="11"/>
      <c r="AI176" s="11"/>
      <c r="AJ176" s="11"/>
      <c r="AK176" s="11"/>
      <c r="AL176" s="11"/>
      <c r="BC176" s="22"/>
      <c r="BD176" s="22"/>
      <c r="BE176" s="22"/>
      <c r="BF176" s="22"/>
      <c r="BG176" s="22"/>
      <c r="BH176" s="22"/>
      <c r="BI176" s="22"/>
      <c r="BJ176" s="22"/>
      <c r="BM176" s="22"/>
      <c r="BN176" s="22"/>
    </row>
    <row r="177" spans="9:66" x14ac:dyDescent="0.25">
      <c r="Z177" s="11"/>
      <c r="AA177" s="11"/>
      <c r="AB177" s="11"/>
      <c r="AC177" s="11"/>
      <c r="AD177" s="11"/>
      <c r="AE177" s="11"/>
      <c r="AF177" s="11"/>
      <c r="AG177" s="11"/>
      <c r="AH177" s="11"/>
      <c r="AI177" s="11"/>
      <c r="AJ177" s="11"/>
      <c r="AK177" s="11"/>
      <c r="AL177" s="11"/>
      <c r="BC177" s="22"/>
      <c r="BD177" s="22"/>
      <c r="BE177" s="22"/>
      <c r="BF177" s="22"/>
      <c r="BG177" s="22"/>
      <c r="BH177" s="22"/>
      <c r="BI177" s="22"/>
      <c r="BJ177" s="22"/>
      <c r="BM177" s="22"/>
      <c r="BN177" s="22"/>
    </row>
    <row r="178" spans="9:66" x14ac:dyDescent="0.25">
      <c r="AL178" s="18"/>
      <c r="BC178" s="22"/>
      <c r="BD178" s="22"/>
      <c r="BE178" s="22"/>
      <c r="BF178" s="22"/>
      <c r="BG178" s="22"/>
      <c r="BH178" s="22"/>
      <c r="BI178" s="22"/>
      <c r="BJ178" s="22"/>
      <c r="BM178" s="22"/>
      <c r="BN178" s="22"/>
    </row>
    <row r="179" spans="9:66" x14ac:dyDescent="0.25">
      <c r="Z179" s="11"/>
      <c r="AA179" s="11"/>
      <c r="AB179" s="11"/>
      <c r="AC179" s="11"/>
      <c r="AD179" s="11"/>
      <c r="AE179" s="11"/>
      <c r="AF179" s="11"/>
      <c r="AG179" s="11"/>
      <c r="AH179" s="11"/>
      <c r="AI179" s="11"/>
      <c r="AJ179" s="11"/>
      <c r="AK179" s="11"/>
      <c r="AL179" s="11"/>
      <c r="AO179" s="11"/>
      <c r="AP179" s="11"/>
      <c r="AQ179" s="11"/>
      <c r="AR179" s="11"/>
      <c r="AS179" s="11"/>
      <c r="AT179" s="11"/>
      <c r="AU179" s="11"/>
      <c r="AV179" s="11"/>
      <c r="AW179" s="11"/>
      <c r="AX179" s="11"/>
      <c r="AY179" s="11"/>
      <c r="BC179" s="22"/>
      <c r="BD179" s="22"/>
      <c r="BE179" s="22"/>
      <c r="BF179" s="22"/>
      <c r="BG179" s="22"/>
      <c r="BH179" s="22"/>
      <c r="BI179" s="22"/>
      <c r="BJ179" s="22"/>
      <c r="BM179" s="22"/>
      <c r="BN179" s="22"/>
    </row>
    <row r="180" spans="9:66" x14ac:dyDescent="0.25">
      <c r="Z180" s="11"/>
      <c r="AA180" s="11"/>
      <c r="AB180" s="11"/>
      <c r="AC180" s="11"/>
      <c r="AD180" s="11"/>
      <c r="AE180" s="11"/>
      <c r="AF180" s="11"/>
      <c r="AG180" s="11"/>
      <c r="AH180" s="11"/>
      <c r="AI180" s="11"/>
      <c r="AJ180" s="11"/>
      <c r="AK180" s="11"/>
      <c r="AL180" s="11"/>
      <c r="AO180" s="11"/>
      <c r="AP180" s="11"/>
      <c r="AQ180" s="11"/>
      <c r="AR180" s="11"/>
      <c r="AS180" s="11"/>
      <c r="AT180" s="11"/>
      <c r="AU180" s="11"/>
      <c r="AV180" s="11"/>
      <c r="AW180" s="11"/>
      <c r="AX180" s="11"/>
      <c r="AY180" s="11"/>
      <c r="BC180" s="22"/>
      <c r="BD180" s="22"/>
      <c r="BE180" s="22"/>
      <c r="BF180" s="22"/>
      <c r="BG180" s="22"/>
      <c r="BH180" s="22"/>
      <c r="BI180" s="22"/>
      <c r="BJ180" s="22"/>
      <c r="BM180" s="22"/>
      <c r="BN180" s="22"/>
    </row>
    <row r="181" spans="9:66" x14ac:dyDescent="0.25">
      <c r="AL181" s="18"/>
      <c r="BC181" s="22"/>
      <c r="BD181" s="22"/>
      <c r="BE181" s="22"/>
      <c r="BF181" s="22"/>
      <c r="BG181" s="22"/>
      <c r="BH181" s="22"/>
      <c r="BI181" s="22"/>
      <c r="BJ181" s="22"/>
      <c r="BM181" s="22"/>
      <c r="BN181" s="22"/>
    </row>
    <row r="182" spans="9:66" x14ac:dyDescent="0.25">
      <c r="Z182" s="11"/>
      <c r="AA182" s="11"/>
      <c r="AB182" s="11"/>
      <c r="AC182" s="11"/>
      <c r="AD182" s="11"/>
      <c r="AE182" s="11"/>
      <c r="AF182" s="11"/>
      <c r="AG182" s="11"/>
      <c r="AH182" s="11"/>
      <c r="AI182" s="11"/>
      <c r="AJ182" s="11"/>
      <c r="AK182" s="11"/>
      <c r="AL182" s="11"/>
      <c r="BC182" s="22"/>
      <c r="BD182" s="22"/>
      <c r="BE182" s="22"/>
      <c r="BF182" s="22"/>
      <c r="BG182" s="22"/>
      <c r="BH182" s="22"/>
      <c r="BI182" s="22"/>
      <c r="BJ182" s="22"/>
      <c r="BM182" s="22"/>
      <c r="BN182" s="22"/>
    </row>
    <row r="183" spans="9:66" x14ac:dyDescent="0.25">
      <c r="Z183" s="11"/>
      <c r="AA183" s="11"/>
      <c r="AB183" s="11"/>
      <c r="AC183" s="11"/>
      <c r="AD183" s="11"/>
      <c r="AE183" s="11"/>
      <c r="AF183" s="11"/>
      <c r="AG183" s="11"/>
      <c r="AH183" s="11"/>
      <c r="AI183" s="11"/>
      <c r="AJ183" s="11"/>
      <c r="AK183" s="11"/>
      <c r="AL183" s="11"/>
      <c r="AO183" s="11"/>
      <c r="AP183" s="11"/>
      <c r="AQ183" s="11"/>
      <c r="AR183" s="11"/>
      <c r="AS183" s="11"/>
      <c r="AT183" s="11"/>
      <c r="AU183" s="11"/>
      <c r="AV183" s="11"/>
      <c r="AW183" s="11"/>
      <c r="AX183" s="11"/>
      <c r="AY183" s="11"/>
      <c r="BC183" s="22"/>
      <c r="BD183" s="22"/>
      <c r="BE183" s="22"/>
      <c r="BF183" s="22"/>
      <c r="BG183" s="22"/>
      <c r="BH183" s="22"/>
      <c r="BI183" s="22"/>
      <c r="BJ183" s="22"/>
      <c r="BM183" s="22"/>
      <c r="BN183" s="22"/>
    </row>
    <row r="184" spans="9:66" x14ac:dyDescent="0.25">
      <c r="I184" s="11"/>
      <c r="J184" s="11"/>
      <c r="K184" s="11"/>
      <c r="L184" s="11"/>
      <c r="M184" s="11"/>
      <c r="N184" s="11"/>
      <c r="O184" s="11"/>
      <c r="P184" s="11"/>
      <c r="Q184" s="11"/>
      <c r="R184" s="11"/>
      <c r="Z184" s="11"/>
      <c r="AA184" s="11"/>
      <c r="AB184" s="11"/>
      <c r="AC184" s="11"/>
      <c r="AD184" s="11"/>
      <c r="AE184" s="11"/>
      <c r="AF184" s="11"/>
      <c r="AG184" s="11"/>
      <c r="AH184" s="11"/>
      <c r="AI184" s="11"/>
      <c r="AJ184" s="11"/>
      <c r="AK184" s="11"/>
      <c r="AL184" s="11"/>
      <c r="AO184" s="11"/>
      <c r="AP184" s="11"/>
      <c r="AQ184" s="11"/>
      <c r="AR184" s="11"/>
      <c r="AS184" s="11"/>
      <c r="AT184" s="11"/>
      <c r="AU184" s="11"/>
      <c r="AV184" s="11"/>
      <c r="AW184" s="11"/>
      <c r="AX184" s="11"/>
      <c r="AY184" s="11"/>
      <c r="BC184" s="22"/>
      <c r="BD184" s="22"/>
      <c r="BE184" s="22"/>
      <c r="BF184" s="22"/>
      <c r="BG184" s="22"/>
      <c r="BH184" s="22"/>
      <c r="BI184" s="22"/>
      <c r="BJ184" s="22"/>
      <c r="BM184" s="22"/>
      <c r="BN184" s="22"/>
    </row>
    <row r="185" spans="9:66" x14ac:dyDescent="0.25">
      <c r="Z185" s="12"/>
      <c r="AA185" s="12"/>
      <c r="AB185" s="12"/>
      <c r="AC185" s="12"/>
      <c r="AD185" s="12"/>
      <c r="AE185" s="12"/>
      <c r="AF185" s="12"/>
      <c r="AG185" s="12"/>
      <c r="AH185" s="12"/>
      <c r="AI185" s="12"/>
      <c r="AJ185" s="12"/>
      <c r="AK185" s="12"/>
      <c r="AL185" s="12"/>
      <c r="BC185" s="22"/>
      <c r="BD185" s="22"/>
      <c r="BE185" s="22"/>
      <c r="BF185" s="22"/>
      <c r="BG185" s="22"/>
      <c r="BH185" s="22"/>
      <c r="BI185" s="22"/>
      <c r="BJ185" s="22"/>
      <c r="BM185" s="22"/>
      <c r="BN185" s="22"/>
    </row>
    <row r="186" spans="9:66" x14ac:dyDescent="0.25">
      <c r="Z186" s="11"/>
      <c r="AA186" s="11"/>
      <c r="AB186" s="11"/>
      <c r="AC186" s="11"/>
      <c r="AD186" s="11"/>
      <c r="AE186" s="11"/>
      <c r="AF186" s="11"/>
      <c r="AG186" s="11"/>
      <c r="AH186" s="11"/>
      <c r="AI186" s="11"/>
      <c r="AJ186" s="11"/>
      <c r="AK186" s="11"/>
      <c r="AL186" s="11"/>
      <c r="BC186" s="22"/>
      <c r="BD186" s="22"/>
      <c r="BE186" s="22"/>
      <c r="BF186" s="22"/>
      <c r="BG186" s="22"/>
      <c r="BH186" s="22"/>
      <c r="BI186" s="22"/>
      <c r="BJ186" s="22"/>
      <c r="BM186" s="22"/>
      <c r="BN186" s="22"/>
    </row>
    <row r="187" spans="9:66" x14ac:dyDescent="0.25">
      <c r="AL187" s="18"/>
      <c r="AO187" s="11"/>
      <c r="AP187" s="11"/>
      <c r="AQ187" s="11"/>
      <c r="AR187" s="11"/>
      <c r="AS187" s="11"/>
      <c r="AT187" s="11"/>
      <c r="AU187" s="11"/>
      <c r="AV187" s="11"/>
      <c r="AW187" s="11"/>
      <c r="AX187" s="11"/>
      <c r="AY187" s="11"/>
      <c r="BC187" s="22"/>
      <c r="BD187" s="22"/>
      <c r="BE187" s="22"/>
      <c r="BF187" s="22"/>
      <c r="BG187" s="22"/>
      <c r="BH187" s="22"/>
      <c r="BI187" s="22"/>
      <c r="BJ187" s="22"/>
      <c r="BM187" s="22"/>
      <c r="BN187" s="22"/>
    </row>
  </sheetData>
  <mergeCells count="28">
    <mergeCell ref="BY1:CC1"/>
    <mergeCell ref="F1:G1"/>
    <mergeCell ref="I1:R1"/>
    <mergeCell ref="S1:V1"/>
    <mergeCell ref="W1:Y1"/>
    <mergeCell ref="Z1:AM1"/>
    <mergeCell ref="AO1:AZ1"/>
    <mergeCell ref="Z59:AM59"/>
    <mergeCell ref="AO59:AZ59"/>
    <mergeCell ref="BA1:BB1"/>
    <mergeCell ref="BC1:BJ1"/>
    <mergeCell ref="BO1:BW1"/>
    <mergeCell ref="BO127:BW127"/>
    <mergeCell ref="BY127:CC127"/>
    <mergeCell ref="BA59:BB59"/>
    <mergeCell ref="BC59:BJ59"/>
    <mergeCell ref="F127:G127"/>
    <mergeCell ref="I127:R127"/>
    <mergeCell ref="S127:V127"/>
    <mergeCell ref="W127:Y127"/>
    <mergeCell ref="Z127:AM127"/>
    <mergeCell ref="AO127:AZ127"/>
    <mergeCell ref="BA127:BB127"/>
    <mergeCell ref="BC127:BJ127"/>
    <mergeCell ref="F59:G59"/>
    <mergeCell ref="I59:R59"/>
    <mergeCell ref="S59:V59"/>
    <mergeCell ref="W59:Y59"/>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0"/>
  <sheetViews>
    <sheetView topLeftCell="AK4" workbookViewId="0">
      <selection activeCell="AZ25" sqref="AZ25"/>
    </sheetView>
  </sheetViews>
  <sheetFormatPr defaultColWidth="8.85546875" defaultRowHeight="15" x14ac:dyDescent="0.25"/>
  <cols>
    <col min="13" max="13" width="10.42578125" customWidth="1"/>
  </cols>
  <sheetData>
    <row r="1" spans="1:83" x14ac:dyDescent="0.25">
      <c r="F1" s="280" t="s">
        <v>87</v>
      </c>
      <c r="G1" s="280"/>
      <c r="H1" s="280"/>
      <c r="I1" s="281" t="s">
        <v>82</v>
      </c>
      <c r="J1" s="281"/>
      <c r="K1" s="281"/>
      <c r="L1" s="281"/>
      <c r="M1" s="281"/>
      <c r="N1" s="281"/>
      <c r="O1" s="281"/>
      <c r="P1" s="281"/>
      <c r="Q1" s="281"/>
      <c r="R1" s="281"/>
      <c r="S1" s="282" t="s">
        <v>88</v>
      </c>
      <c r="T1" s="282"/>
      <c r="U1" s="282"/>
      <c r="V1" s="282"/>
      <c r="W1" s="283" t="s">
        <v>116</v>
      </c>
      <c r="X1" s="283"/>
      <c r="Y1" s="283"/>
      <c r="Z1" s="84"/>
      <c r="AA1" s="284" t="s">
        <v>131</v>
      </c>
      <c r="AB1" s="284"/>
      <c r="AC1" s="284"/>
      <c r="AD1" s="284"/>
      <c r="AE1" s="284"/>
      <c r="AF1" s="284"/>
      <c r="AG1" s="284"/>
      <c r="AH1" s="284"/>
      <c r="AI1" s="284"/>
      <c r="AJ1" s="284"/>
      <c r="AK1" s="284"/>
      <c r="AL1" s="284"/>
      <c r="AM1" s="284"/>
      <c r="AN1" s="284"/>
      <c r="AO1" s="15" t="s">
        <v>136</v>
      </c>
      <c r="AP1" s="285" t="s">
        <v>147</v>
      </c>
      <c r="AQ1" s="285"/>
      <c r="AR1" s="285"/>
      <c r="AS1" s="285"/>
      <c r="AT1" s="285"/>
      <c r="AU1" s="285"/>
      <c r="AV1" s="285"/>
      <c r="AW1" s="285"/>
      <c r="AX1" s="285"/>
      <c r="AY1" s="285"/>
      <c r="AZ1" s="285"/>
      <c r="BA1" s="285"/>
      <c r="BB1" s="282" t="s">
        <v>149</v>
      </c>
      <c r="BC1" s="282"/>
      <c r="BD1" s="283" t="s">
        <v>157</v>
      </c>
      <c r="BE1" s="283"/>
      <c r="BF1" s="283"/>
      <c r="BG1" s="283"/>
      <c r="BH1" s="283"/>
      <c r="BI1" s="283"/>
      <c r="BJ1" s="283"/>
      <c r="BK1" s="283"/>
      <c r="BL1" s="27" t="s">
        <v>162</v>
      </c>
      <c r="BM1" s="27"/>
      <c r="BN1" s="10" t="s">
        <v>164</v>
      </c>
      <c r="BO1" s="13" t="s">
        <v>166</v>
      </c>
      <c r="BP1" s="278" t="s">
        <v>173</v>
      </c>
      <c r="BQ1" s="278"/>
      <c r="BR1" s="278"/>
      <c r="BS1" s="278"/>
      <c r="BT1" s="278"/>
      <c r="BU1" s="278"/>
      <c r="BV1" s="278"/>
      <c r="BW1" s="278"/>
      <c r="BX1" s="278"/>
      <c r="BY1" s="29" t="s">
        <v>176</v>
      </c>
      <c r="BZ1" s="277" t="s">
        <v>198</v>
      </c>
      <c r="CA1" s="277"/>
      <c r="CB1" s="277"/>
      <c r="CC1" s="277"/>
      <c r="CD1" s="277"/>
    </row>
    <row r="2" spans="1:83" x14ac:dyDescent="0.25">
      <c r="A2" s="14" t="s">
        <v>12</v>
      </c>
      <c r="B2" s="14" t="s">
        <v>62</v>
      </c>
      <c r="C2" s="16" t="s">
        <v>85</v>
      </c>
      <c r="D2" s="16" t="s">
        <v>209</v>
      </c>
      <c r="E2" s="13" t="s">
        <v>84</v>
      </c>
      <c r="F2" t="s">
        <v>83</v>
      </c>
      <c r="G2" t="s">
        <v>86</v>
      </c>
      <c r="I2" t="s">
        <v>67</v>
      </c>
      <c r="J2" t="s">
        <v>68</v>
      </c>
      <c r="K2" t="s">
        <v>69</v>
      </c>
      <c r="L2" t="s">
        <v>70</v>
      </c>
      <c r="M2" t="s">
        <v>71</v>
      </c>
      <c r="N2" t="s">
        <v>72</v>
      </c>
      <c r="O2" t="s">
        <v>73</v>
      </c>
      <c r="P2" t="s">
        <v>74</v>
      </c>
      <c r="Q2" t="s">
        <v>81</v>
      </c>
      <c r="R2" t="s">
        <v>75</v>
      </c>
      <c r="S2" t="s">
        <v>78</v>
      </c>
      <c r="T2" t="s">
        <v>79</v>
      </c>
      <c r="U2" t="s">
        <v>80</v>
      </c>
      <c r="V2" t="s">
        <v>62</v>
      </c>
      <c r="W2" t="s">
        <v>114</v>
      </c>
      <c r="X2" t="s">
        <v>115</v>
      </c>
      <c r="Y2" t="s">
        <v>117</v>
      </c>
      <c r="AA2" t="s">
        <v>119</v>
      </c>
      <c r="AB2" t="s">
        <v>120</v>
      </c>
      <c r="AC2" t="s">
        <v>121</v>
      </c>
      <c r="AD2" t="s">
        <v>122</v>
      </c>
      <c r="AE2" t="s">
        <v>123</v>
      </c>
      <c r="AF2" t="s">
        <v>124</v>
      </c>
      <c r="AG2" t="s">
        <v>125</v>
      </c>
      <c r="AH2" t="s">
        <v>126</v>
      </c>
      <c r="AI2" t="s">
        <v>127</v>
      </c>
      <c r="AJ2" t="s">
        <v>128</v>
      </c>
      <c r="AK2" t="s">
        <v>129</v>
      </c>
      <c r="AL2" t="s">
        <v>130</v>
      </c>
      <c r="AM2" t="s">
        <v>132</v>
      </c>
      <c r="AN2" t="s">
        <v>133</v>
      </c>
      <c r="AO2" s="18" t="s">
        <v>135</v>
      </c>
      <c r="AP2" s="20" t="s">
        <v>119</v>
      </c>
      <c r="AQ2" s="20" t="s">
        <v>120</v>
      </c>
      <c r="AR2" s="20" t="s">
        <v>139</v>
      </c>
      <c r="AS2" s="20" t="s">
        <v>140</v>
      </c>
      <c r="AT2" s="20" t="s">
        <v>124</v>
      </c>
      <c r="AU2" s="20" t="s">
        <v>141</v>
      </c>
      <c r="AV2" s="20" t="s">
        <v>142</v>
      </c>
      <c r="AW2" s="20" t="s">
        <v>143</v>
      </c>
      <c r="AX2" s="20" t="s">
        <v>144</v>
      </c>
      <c r="AY2" s="20" t="s">
        <v>145</v>
      </c>
      <c r="AZ2" s="21" t="s">
        <v>146</v>
      </c>
      <c r="BA2" s="18" t="s">
        <v>138</v>
      </c>
      <c r="BB2" t="s">
        <v>148</v>
      </c>
      <c r="BC2" t="s">
        <v>146</v>
      </c>
      <c r="BD2" s="22" t="s">
        <v>150</v>
      </c>
      <c r="BE2" s="22" t="s">
        <v>151</v>
      </c>
      <c r="BF2" s="22" t="s">
        <v>152</v>
      </c>
      <c r="BG2" s="22" t="s">
        <v>153</v>
      </c>
      <c r="BH2" s="22" t="s">
        <v>154</v>
      </c>
      <c r="BI2" s="22" t="s">
        <v>155</v>
      </c>
      <c r="BJ2" s="22" t="s">
        <v>156</v>
      </c>
      <c r="BK2" s="22" t="s">
        <v>146</v>
      </c>
      <c r="BL2" t="s">
        <v>161</v>
      </c>
      <c r="BN2" s="28" t="s">
        <v>164</v>
      </c>
      <c r="BO2" s="28" t="s">
        <v>165</v>
      </c>
      <c r="BP2" t="s">
        <v>167</v>
      </c>
      <c r="BQ2" t="s">
        <v>168</v>
      </c>
      <c r="BR2" t="s">
        <v>169</v>
      </c>
      <c r="BS2" t="s">
        <v>170</v>
      </c>
      <c r="BT2" t="s">
        <v>171</v>
      </c>
      <c r="BU2" t="s">
        <v>172</v>
      </c>
      <c r="BW2" t="s">
        <v>195</v>
      </c>
      <c r="BX2" t="s">
        <v>163</v>
      </c>
      <c r="BY2" t="s">
        <v>175</v>
      </c>
      <c r="BZ2" t="s">
        <v>177</v>
      </c>
      <c r="CA2" t="s">
        <v>163</v>
      </c>
      <c r="CB2" t="s">
        <v>179</v>
      </c>
      <c r="CC2" t="s">
        <v>146</v>
      </c>
      <c r="CD2" t="s">
        <v>178</v>
      </c>
      <c r="CE2" t="s">
        <v>146</v>
      </c>
    </row>
    <row r="3" spans="1:83" x14ac:dyDescent="0.25">
      <c r="A3">
        <v>1150</v>
      </c>
      <c r="B3" t="s">
        <v>59</v>
      </c>
      <c r="C3" t="s">
        <v>26</v>
      </c>
      <c r="D3" t="s">
        <v>213</v>
      </c>
      <c r="E3">
        <v>40000</v>
      </c>
      <c r="F3">
        <v>41516</v>
      </c>
      <c r="G3" t="s">
        <v>65</v>
      </c>
      <c r="H3">
        <f>SUM(M3:P3)</f>
        <v>41516</v>
      </c>
      <c r="I3">
        <v>1.3275981095002922</v>
      </c>
      <c r="J3">
        <v>90.574053422547934</v>
      </c>
      <c r="K3">
        <v>1.7391535234453828</v>
      </c>
      <c r="L3">
        <v>6.3591949445063998</v>
      </c>
      <c r="M3">
        <v>551.16563114014139</v>
      </c>
      <c r="N3">
        <v>37602.724018904999</v>
      </c>
      <c r="O3">
        <v>722.02697679358505</v>
      </c>
      <c r="P3">
        <v>2640.0833731612765</v>
      </c>
      <c r="Q3" t="s">
        <v>76</v>
      </c>
      <c r="R3" t="s">
        <v>64</v>
      </c>
      <c r="S3">
        <v>72</v>
      </c>
      <c r="T3">
        <v>25</v>
      </c>
      <c r="U3">
        <v>50</v>
      </c>
      <c r="V3" t="s">
        <v>76</v>
      </c>
      <c r="W3" t="s">
        <v>89</v>
      </c>
      <c r="X3" t="s">
        <v>89</v>
      </c>
      <c r="Z3">
        <v>551.16563114014139</v>
      </c>
      <c r="AA3">
        <v>10</v>
      </c>
      <c r="AB3">
        <v>10</v>
      </c>
      <c r="AC3">
        <v>60</v>
      </c>
      <c r="AD3">
        <v>20</v>
      </c>
      <c r="AE3">
        <v>0</v>
      </c>
      <c r="AF3">
        <v>0</v>
      </c>
      <c r="AG3">
        <v>55.116563114014134</v>
      </c>
      <c r="AH3">
        <v>55.116563114014134</v>
      </c>
      <c r="AI3">
        <v>330.69937868408482</v>
      </c>
      <c r="AJ3">
        <v>110.23312622802827</v>
      </c>
      <c r="AK3">
        <v>0</v>
      </c>
      <c r="AL3">
        <v>0</v>
      </c>
      <c r="AM3" s="18" t="s">
        <v>76</v>
      </c>
      <c r="AO3" t="s">
        <v>64</v>
      </c>
      <c r="AP3">
        <v>0</v>
      </c>
      <c r="AQ3">
        <v>9.1603053435114496</v>
      </c>
      <c r="AR3">
        <v>30.534351145038169</v>
      </c>
      <c r="AS3">
        <v>44.580152671755727</v>
      </c>
      <c r="AT3">
        <v>15.725190839694655</v>
      </c>
      <c r="AU3">
        <v>0</v>
      </c>
      <c r="AV3">
        <v>66.139875736816947</v>
      </c>
      <c r="AW3">
        <v>220.46625245605651</v>
      </c>
      <c r="AX3">
        <v>321.88072858584252</v>
      </c>
      <c r="AY3">
        <v>113.54012001486909</v>
      </c>
      <c r="AZ3" t="s">
        <v>76</v>
      </c>
      <c r="BB3">
        <v>0</v>
      </c>
      <c r="BC3" t="s">
        <v>118</v>
      </c>
      <c r="BD3" s="22"/>
      <c r="BE3" s="22"/>
      <c r="BF3" s="22"/>
      <c r="BG3" s="22"/>
      <c r="BH3" s="22"/>
      <c r="BI3" s="22"/>
      <c r="BJ3" s="22"/>
      <c r="BK3" s="22" t="s">
        <v>77</v>
      </c>
      <c r="BL3" t="s">
        <v>158</v>
      </c>
      <c r="BN3" s="22" t="s">
        <v>89</v>
      </c>
      <c r="BO3" s="22">
        <v>0</v>
      </c>
      <c r="BW3" t="s">
        <v>64</v>
      </c>
      <c r="BX3" t="s">
        <v>65</v>
      </c>
      <c r="BY3" t="s">
        <v>89</v>
      </c>
      <c r="BZ3">
        <v>363</v>
      </c>
      <c r="CA3" t="s">
        <v>76</v>
      </c>
      <c r="CB3">
        <v>363</v>
      </c>
      <c r="CC3" t="s">
        <v>76</v>
      </c>
      <c r="CD3">
        <v>100</v>
      </c>
      <c r="CE3" t="s">
        <v>76</v>
      </c>
    </row>
    <row r="4" spans="1:83" x14ac:dyDescent="0.25">
      <c r="A4">
        <v>1158</v>
      </c>
      <c r="B4" t="s">
        <v>61</v>
      </c>
      <c r="C4" t="s">
        <v>26</v>
      </c>
      <c r="D4" t="s">
        <v>213</v>
      </c>
      <c r="E4">
        <v>11000</v>
      </c>
      <c r="F4">
        <v>10500</v>
      </c>
      <c r="G4" t="s">
        <v>65</v>
      </c>
      <c r="H4">
        <f t="shared" ref="H4:H20" si="0">SUM(M4:P4)</f>
        <v>10500.000000000002</v>
      </c>
      <c r="I4">
        <v>1.6853932584269662</v>
      </c>
      <c r="J4">
        <v>25.280898876404496</v>
      </c>
      <c r="K4">
        <v>39.325842696629216</v>
      </c>
      <c r="L4">
        <v>33.707865168539328</v>
      </c>
      <c r="M4">
        <v>176.96629213483146</v>
      </c>
      <c r="N4">
        <v>2654.4943820224721</v>
      </c>
      <c r="O4">
        <v>4129.213483146068</v>
      </c>
      <c r="P4">
        <v>3539.3258426966299</v>
      </c>
      <c r="Q4" t="s">
        <v>76</v>
      </c>
      <c r="R4" t="s">
        <v>64</v>
      </c>
      <c r="S4">
        <v>79.5</v>
      </c>
      <c r="T4">
        <v>25</v>
      </c>
      <c r="V4" t="s">
        <v>76</v>
      </c>
      <c r="W4" t="s">
        <v>89</v>
      </c>
      <c r="X4" t="s">
        <v>77</v>
      </c>
      <c r="AA4" s="11"/>
      <c r="AB4" s="11"/>
      <c r="AC4" s="11"/>
      <c r="AD4" s="11"/>
      <c r="AE4" s="11"/>
      <c r="AF4" s="11"/>
      <c r="AG4" s="11"/>
      <c r="AH4" s="11"/>
      <c r="AI4" s="11"/>
      <c r="AJ4" s="11"/>
      <c r="AK4" s="11"/>
      <c r="AL4" s="11"/>
      <c r="AM4" s="11" t="s">
        <v>77</v>
      </c>
      <c r="AO4" t="s">
        <v>64</v>
      </c>
      <c r="AP4">
        <v>7.1942446043165464</v>
      </c>
      <c r="AQ4">
        <v>10.791366906474821</v>
      </c>
      <c r="AR4">
        <v>28.776978417266186</v>
      </c>
      <c r="AS4">
        <v>50.359712230215827</v>
      </c>
      <c r="AT4">
        <v>2.8776978417266186</v>
      </c>
      <c r="AU4">
        <v>294.94382022471916</v>
      </c>
      <c r="AV4">
        <v>442.41573033707874</v>
      </c>
      <c r="AW4">
        <v>1179.7752808988766</v>
      </c>
      <c r="AX4">
        <v>2064.606741573034</v>
      </c>
      <c r="AY4">
        <v>117.97752808988766</v>
      </c>
      <c r="AZ4" t="s">
        <v>76</v>
      </c>
      <c r="BB4">
        <v>10</v>
      </c>
      <c r="BC4" t="s">
        <v>76</v>
      </c>
      <c r="BD4" s="22"/>
      <c r="BE4" s="22"/>
      <c r="BF4" s="22"/>
      <c r="BG4" s="22"/>
      <c r="BH4" s="22"/>
      <c r="BI4" s="22"/>
      <c r="BJ4" s="22"/>
      <c r="BK4" s="22" t="s">
        <v>77</v>
      </c>
      <c r="BL4" t="s">
        <v>158</v>
      </c>
      <c r="BN4" s="22" t="s">
        <v>89</v>
      </c>
      <c r="BO4" s="22">
        <v>2</v>
      </c>
      <c r="BX4" t="s">
        <v>77</v>
      </c>
      <c r="BY4" t="s">
        <v>89</v>
      </c>
      <c r="BZ4">
        <v>5600</v>
      </c>
      <c r="CA4" t="s">
        <v>76</v>
      </c>
      <c r="CB4">
        <v>5600</v>
      </c>
      <c r="CC4" t="s">
        <v>76</v>
      </c>
      <c r="CD4">
        <v>7</v>
      </c>
      <c r="CE4" t="s">
        <v>76</v>
      </c>
    </row>
    <row r="5" spans="1:83" x14ac:dyDescent="0.25">
      <c r="A5">
        <v>1200</v>
      </c>
      <c r="B5" t="s">
        <v>59</v>
      </c>
      <c r="C5" t="s">
        <v>28</v>
      </c>
      <c r="D5" t="s">
        <v>213</v>
      </c>
      <c r="E5">
        <v>30000</v>
      </c>
      <c r="F5">
        <v>216000</v>
      </c>
      <c r="G5" t="s">
        <v>65</v>
      </c>
      <c r="H5">
        <f t="shared" si="0"/>
        <v>216000.00000000003</v>
      </c>
      <c r="I5">
        <v>0</v>
      </c>
      <c r="J5">
        <v>84.019054179636981</v>
      </c>
      <c r="K5">
        <v>0.75904781091391171</v>
      </c>
      <c r="L5">
        <v>15.221898009449106</v>
      </c>
      <c r="M5">
        <v>0</v>
      </c>
      <c r="N5">
        <v>181481.15702801591</v>
      </c>
      <c r="O5">
        <v>1639.5432715740494</v>
      </c>
      <c r="P5">
        <v>32879.299700410069</v>
      </c>
      <c r="Q5" t="s">
        <v>76</v>
      </c>
      <c r="R5" t="s">
        <v>64</v>
      </c>
      <c r="S5">
        <v>58</v>
      </c>
      <c r="T5">
        <v>10</v>
      </c>
      <c r="U5">
        <v>110</v>
      </c>
      <c r="V5" t="s">
        <v>76</v>
      </c>
      <c r="W5" t="s">
        <v>63</v>
      </c>
      <c r="X5" t="s">
        <v>63</v>
      </c>
      <c r="Z5">
        <v>0</v>
      </c>
      <c r="AA5" s="11"/>
      <c r="AB5" s="11"/>
      <c r="AC5" s="11"/>
      <c r="AD5" s="11"/>
      <c r="AE5" s="11"/>
      <c r="AF5" s="11"/>
      <c r="AG5" s="11"/>
      <c r="AH5" s="11"/>
      <c r="AI5" s="11"/>
      <c r="AJ5" s="11"/>
      <c r="AK5" s="11"/>
      <c r="AL5" s="11"/>
      <c r="AM5" s="11" t="s">
        <v>77</v>
      </c>
      <c r="AO5" t="s">
        <v>64</v>
      </c>
      <c r="AP5">
        <v>0</v>
      </c>
      <c r="AQ5">
        <v>0</v>
      </c>
      <c r="AR5">
        <v>0</v>
      </c>
      <c r="AS5">
        <v>100</v>
      </c>
      <c r="AT5">
        <v>0</v>
      </c>
      <c r="AU5">
        <v>0</v>
      </c>
      <c r="AV5">
        <v>0</v>
      </c>
      <c r="AW5">
        <v>0</v>
      </c>
      <c r="AX5">
        <v>1639.5432715740494</v>
      </c>
      <c r="AY5">
        <v>0</v>
      </c>
      <c r="AZ5" t="s">
        <v>76</v>
      </c>
      <c r="BB5">
        <v>0</v>
      </c>
      <c r="BC5" t="s">
        <v>118</v>
      </c>
      <c r="BD5" s="22">
        <v>0</v>
      </c>
      <c r="BE5" s="22">
        <v>0</v>
      </c>
      <c r="BF5" s="22"/>
      <c r="BG5" s="22"/>
      <c r="BH5" s="22"/>
      <c r="BI5" s="22"/>
      <c r="BJ5" s="22"/>
      <c r="BK5" s="22" t="s">
        <v>77</v>
      </c>
      <c r="BL5" t="s">
        <v>63</v>
      </c>
      <c r="BN5" s="22" t="s">
        <v>77</v>
      </c>
      <c r="BO5" s="22"/>
      <c r="BX5" t="s">
        <v>77</v>
      </c>
      <c r="BY5" t="s">
        <v>77</v>
      </c>
      <c r="CA5" t="s">
        <v>201</v>
      </c>
      <c r="CC5" t="s">
        <v>77</v>
      </c>
      <c r="CE5" t="s">
        <v>77</v>
      </c>
    </row>
    <row r="6" spans="1:83" x14ac:dyDescent="0.25">
      <c r="A6">
        <v>1202</v>
      </c>
      <c r="B6" t="s">
        <v>58</v>
      </c>
      <c r="C6" t="s">
        <v>28</v>
      </c>
      <c r="D6" t="s">
        <v>213</v>
      </c>
      <c r="E6">
        <v>130000</v>
      </c>
      <c r="F6">
        <v>92527.32</v>
      </c>
      <c r="G6" t="s">
        <v>65</v>
      </c>
      <c r="H6">
        <f t="shared" si="0"/>
        <v>92527.32</v>
      </c>
      <c r="I6">
        <v>0</v>
      </c>
      <c r="J6">
        <v>100</v>
      </c>
      <c r="K6">
        <v>0</v>
      </c>
      <c r="L6">
        <v>0</v>
      </c>
      <c r="M6">
        <v>0</v>
      </c>
      <c r="N6">
        <v>92527.32</v>
      </c>
      <c r="O6">
        <v>0</v>
      </c>
      <c r="P6">
        <v>0</v>
      </c>
      <c r="Q6" t="s">
        <v>76</v>
      </c>
      <c r="S6">
        <v>68</v>
      </c>
      <c r="V6" t="s">
        <v>76</v>
      </c>
      <c r="W6" t="s">
        <v>90</v>
      </c>
      <c r="X6" t="s">
        <v>90</v>
      </c>
      <c r="Z6">
        <v>0</v>
      </c>
      <c r="AA6" s="11"/>
      <c r="AB6" s="11"/>
      <c r="AC6" s="11"/>
      <c r="AD6" s="11"/>
      <c r="AE6" s="11"/>
      <c r="AF6" s="11"/>
      <c r="AG6" s="11"/>
      <c r="AH6" s="11"/>
      <c r="AI6" s="11"/>
      <c r="AJ6" s="11"/>
      <c r="AK6" s="11"/>
      <c r="AL6" s="11"/>
      <c r="AM6" s="11" t="s">
        <v>77</v>
      </c>
      <c r="AO6" t="s">
        <v>64</v>
      </c>
      <c r="AP6" s="11"/>
      <c r="AQ6" s="11"/>
      <c r="AR6" s="11"/>
      <c r="AS6" s="11"/>
      <c r="AT6" s="11"/>
      <c r="AU6" s="11"/>
      <c r="AV6" s="11"/>
      <c r="AW6" s="11"/>
      <c r="AX6" s="11"/>
      <c r="AY6" s="11"/>
      <c r="AZ6" s="11" t="s">
        <v>77</v>
      </c>
      <c r="BB6">
        <v>0</v>
      </c>
      <c r="BC6" t="s">
        <v>118</v>
      </c>
      <c r="BD6" s="22"/>
      <c r="BE6" s="22"/>
      <c r="BF6" s="22"/>
      <c r="BG6" s="22"/>
      <c r="BH6" s="22"/>
      <c r="BI6" s="22"/>
      <c r="BJ6" s="22"/>
      <c r="BK6" s="22" t="s">
        <v>77</v>
      </c>
      <c r="BL6" t="s">
        <v>63</v>
      </c>
      <c r="BN6" s="22" t="s">
        <v>77</v>
      </c>
      <c r="BO6" s="22"/>
      <c r="BX6" t="s">
        <v>77</v>
      </c>
      <c r="BY6" t="s">
        <v>90</v>
      </c>
      <c r="CA6" t="s">
        <v>76</v>
      </c>
      <c r="CC6" t="s">
        <v>77</v>
      </c>
      <c r="CE6" t="s">
        <v>77</v>
      </c>
    </row>
    <row r="7" spans="1:83" x14ac:dyDescent="0.25">
      <c r="A7">
        <v>1289</v>
      </c>
      <c r="B7" t="s">
        <v>59</v>
      </c>
      <c r="C7" t="s">
        <v>31</v>
      </c>
      <c r="D7" t="s">
        <v>213</v>
      </c>
      <c r="E7">
        <v>290951</v>
      </c>
      <c r="F7">
        <v>964049</v>
      </c>
      <c r="G7" t="s">
        <v>65</v>
      </c>
      <c r="H7">
        <f t="shared" si="0"/>
        <v>964049</v>
      </c>
      <c r="I7">
        <v>0</v>
      </c>
      <c r="J7">
        <v>100</v>
      </c>
      <c r="K7">
        <v>0</v>
      </c>
      <c r="L7">
        <v>0</v>
      </c>
      <c r="M7">
        <v>0</v>
      </c>
      <c r="N7">
        <v>964049</v>
      </c>
      <c r="O7">
        <v>0</v>
      </c>
      <c r="P7">
        <v>0</v>
      </c>
      <c r="Q7" t="s">
        <v>76</v>
      </c>
      <c r="S7">
        <v>64.25</v>
      </c>
      <c r="V7" t="s">
        <v>76</v>
      </c>
      <c r="W7" t="s">
        <v>64</v>
      </c>
      <c r="X7" t="s">
        <v>63</v>
      </c>
      <c r="Z7">
        <v>0</v>
      </c>
      <c r="AA7" s="11"/>
      <c r="AB7" s="11"/>
      <c r="AC7" s="11"/>
      <c r="AD7" s="11"/>
      <c r="AE7" s="11"/>
      <c r="AF7" s="11"/>
      <c r="AG7" s="11"/>
      <c r="AH7" s="11"/>
      <c r="AI7" s="11"/>
      <c r="AJ7" s="11"/>
      <c r="AK7" s="11"/>
      <c r="AL7" s="11"/>
      <c r="AM7" s="11" t="s">
        <v>77</v>
      </c>
      <c r="AO7" t="s">
        <v>63</v>
      </c>
      <c r="AP7" s="11"/>
      <c r="AQ7" s="11"/>
      <c r="AR7" s="11"/>
      <c r="AS7" s="11"/>
      <c r="AT7" s="11"/>
      <c r="AU7" s="11"/>
      <c r="AV7" s="11"/>
      <c r="AW7" s="11"/>
      <c r="AX7" s="11"/>
      <c r="AY7" s="11"/>
      <c r="AZ7" s="11" t="s">
        <v>77</v>
      </c>
      <c r="BC7" t="s">
        <v>77</v>
      </c>
      <c r="BD7" s="22"/>
      <c r="BE7" s="22"/>
      <c r="BF7" s="22"/>
      <c r="BG7" s="22"/>
      <c r="BH7" s="22"/>
      <c r="BI7" s="22"/>
      <c r="BJ7" s="22"/>
      <c r="BK7" s="22" t="s">
        <v>77</v>
      </c>
      <c r="BL7" t="s">
        <v>63</v>
      </c>
      <c r="BN7" s="22" t="s">
        <v>77</v>
      </c>
      <c r="BO7" s="22"/>
      <c r="BX7" t="s">
        <v>77</v>
      </c>
      <c r="BY7" t="s">
        <v>90</v>
      </c>
      <c r="CA7" t="s">
        <v>76</v>
      </c>
      <c r="CC7" t="s">
        <v>77</v>
      </c>
      <c r="CE7" t="s">
        <v>77</v>
      </c>
    </row>
    <row r="8" spans="1:83" x14ac:dyDescent="0.25">
      <c r="A8">
        <v>1293</v>
      </c>
      <c r="B8" t="s">
        <v>58</v>
      </c>
      <c r="C8" t="s">
        <v>31</v>
      </c>
      <c r="D8" t="s">
        <v>213</v>
      </c>
      <c r="E8">
        <v>500000</v>
      </c>
      <c r="F8">
        <v>100000</v>
      </c>
      <c r="G8" t="s">
        <v>65</v>
      </c>
      <c r="H8">
        <f t="shared" si="0"/>
        <v>100000</v>
      </c>
      <c r="I8">
        <v>15</v>
      </c>
      <c r="J8">
        <v>85</v>
      </c>
      <c r="K8">
        <v>0</v>
      </c>
      <c r="L8">
        <v>0</v>
      </c>
      <c r="M8">
        <v>15000</v>
      </c>
      <c r="N8">
        <v>85000</v>
      </c>
      <c r="O8">
        <v>0</v>
      </c>
      <c r="P8">
        <v>0</v>
      </c>
      <c r="Q8" t="s">
        <v>76</v>
      </c>
      <c r="S8">
        <v>80</v>
      </c>
      <c r="V8" t="s">
        <v>76</v>
      </c>
      <c r="W8" t="s">
        <v>64</v>
      </c>
      <c r="X8" t="s">
        <v>64</v>
      </c>
      <c r="Z8">
        <v>15000</v>
      </c>
      <c r="AA8">
        <v>5</v>
      </c>
      <c r="AB8">
        <v>1</v>
      </c>
      <c r="AC8">
        <v>69</v>
      </c>
      <c r="AD8">
        <v>15</v>
      </c>
      <c r="AE8">
        <v>5</v>
      </c>
      <c r="AF8">
        <v>5</v>
      </c>
      <c r="AG8">
        <v>750</v>
      </c>
      <c r="AH8">
        <v>150</v>
      </c>
      <c r="AI8">
        <v>10350</v>
      </c>
      <c r="AJ8">
        <v>2250</v>
      </c>
      <c r="AK8">
        <v>750</v>
      </c>
      <c r="AL8">
        <v>750</v>
      </c>
      <c r="AM8" s="18" t="s">
        <v>76</v>
      </c>
      <c r="AO8" t="s">
        <v>63</v>
      </c>
      <c r="AP8" s="11"/>
      <c r="AQ8" s="11"/>
      <c r="AR8" s="11"/>
      <c r="AS8" s="11"/>
      <c r="AT8" s="11"/>
      <c r="AU8" s="11"/>
      <c r="AV8" s="11"/>
      <c r="AW8" s="11"/>
      <c r="AX8" s="11"/>
      <c r="AY8" s="11"/>
      <c r="AZ8" s="11" t="s">
        <v>77</v>
      </c>
      <c r="BC8" t="s">
        <v>77</v>
      </c>
      <c r="BD8" s="22"/>
      <c r="BE8" s="22"/>
      <c r="BF8" s="22"/>
      <c r="BG8" s="22"/>
      <c r="BH8" s="22"/>
      <c r="BI8" s="22"/>
      <c r="BJ8" s="22"/>
      <c r="BK8" s="22" t="s">
        <v>77</v>
      </c>
      <c r="BL8" t="s">
        <v>77</v>
      </c>
      <c r="BN8" s="22" t="s">
        <v>77</v>
      </c>
      <c r="BO8" s="22"/>
      <c r="BX8" t="s">
        <v>77</v>
      </c>
      <c r="BY8" t="s">
        <v>77</v>
      </c>
      <c r="CA8" t="s">
        <v>201</v>
      </c>
      <c r="CC8" t="s">
        <v>77</v>
      </c>
      <c r="CE8" t="s">
        <v>77</v>
      </c>
    </row>
    <row r="9" spans="1:83" x14ac:dyDescent="0.25">
      <c r="A9">
        <v>1303</v>
      </c>
      <c r="B9" t="s">
        <v>58</v>
      </c>
      <c r="C9" t="s">
        <v>33</v>
      </c>
      <c r="D9" t="s">
        <v>213</v>
      </c>
      <c r="E9">
        <v>255599</v>
      </c>
      <c r="F9">
        <v>103958.478</v>
      </c>
      <c r="G9" t="s">
        <v>65</v>
      </c>
      <c r="H9">
        <f t="shared" si="0"/>
        <v>0</v>
      </c>
      <c r="I9" s="11"/>
      <c r="J9" s="11"/>
      <c r="K9" s="11"/>
      <c r="L9" s="11"/>
      <c r="M9" s="11"/>
      <c r="N9" s="11"/>
      <c r="O9" s="11"/>
      <c r="P9" s="11"/>
      <c r="Q9" s="11" t="s">
        <v>77</v>
      </c>
      <c r="R9" s="11"/>
      <c r="S9">
        <v>46</v>
      </c>
      <c r="T9">
        <v>46</v>
      </c>
      <c r="U9">
        <v>46</v>
      </c>
      <c r="V9" t="s">
        <v>76</v>
      </c>
      <c r="W9" t="s">
        <v>89</v>
      </c>
      <c r="X9" t="s">
        <v>89</v>
      </c>
      <c r="Z9" s="11"/>
      <c r="AA9" s="11"/>
      <c r="AB9" s="11"/>
      <c r="AC9" s="11"/>
      <c r="AD9" s="11"/>
      <c r="AE9" s="11"/>
      <c r="AF9" s="11"/>
      <c r="AG9" s="11"/>
      <c r="AH9" s="11"/>
      <c r="AI9" s="11"/>
      <c r="AJ9" s="11"/>
      <c r="AK9" s="11"/>
      <c r="AL9" s="11"/>
      <c r="AM9" s="11" t="s">
        <v>77</v>
      </c>
      <c r="AO9" t="s">
        <v>134</v>
      </c>
      <c r="AP9" s="11"/>
      <c r="AQ9" s="11"/>
      <c r="AR9" s="11"/>
      <c r="AS9" s="11"/>
      <c r="AT9" s="11"/>
      <c r="AU9" s="11"/>
      <c r="AV9" s="11"/>
      <c r="AW9" s="11"/>
      <c r="AX9" s="11"/>
      <c r="AY9" s="11"/>
      <c r="AZ9" s="11" t="s">
        <v>77</v>
      </c>
      <c r="BC9" t="s">
        <v>77</v>
      </c>
      <c r="BD9" s="22"/>
      <c r="BE9" s="22"/>
      <c r="BF9" s="22"/>
      <c r="BG9" s="22"/>
      <c r="BH9" s="22"/>
      <c r="BI9" s="22"/>
      <c r="BJ9" s="22"/>
      <c r="BK9" s="22" t="s">
        <v>77</v>
      </c>
      <c r="BL9" t="s">
        <v>77</v>
      </c>
      <c r="BN9" s="22" t="s">
        <v>77</v>
      </c>
      <c r="BO9" s="22"/>
      <c r="BX9" t="s">
        <v>77</v>
      </c>
      <c r="BY9" t="s">
        <v>89</v>
      </c>
      <c r="CA9" t="s">
        <v>76</v>
      </c>
      <c r="CC9" t="s">
        <v>77</v>
      </c>
      <c r="CE9" t="s">
        <v>77</v>
      </c>
    </row>
    <row r="10" spans="1:83" x14ac:dyDescent="0.25">
      <c r="A10">
        <v>1304</v>
      </c>
      <c r="B10" t="s">
        <v>59</v>
      </c>
      <c r="C10" t="s">
        <v>33</v>
      </c>
      <c r="D10" t="s">
        <v>213</v>
      </c>
      <c r="E10">
        <v>197349</v>
      </c>
      <c r="F10">
        <v>272847</v>
      </c>
      <c r="G10" t="s">
        <v>65</v>
      </c>
      <c r="H10">
        <f t="shared" si="0"/>
        <v>272847.00000000006</v>
      </c>
      <c r="I10">
        <v>0</v>
      </c>
      <c r="J10">
        <v>98.944059095273957</v>
      </c>
      <c r="K10">
        <v>0.24354226963862452</v>
      </c>
      <c r="L10">
        <v>0.8123986350874105</v>
      </c>
      <c r="M10">
        <v>0</v>
      </c>
      <c r="N10">
        <v>269965.89691968216</v>
      </c>
      <c r="O10">
        <v>664.49777644089784</v>
      </c>
      <c r="P10">
        <v>2216.6053038769469</v>
      </c>
      <c r="Q10" t="s">
        <v>76</v>
      </c>
      <c r="R10" t="s">
        <v>64</v>
      </c>
      <c r="S10">
        <v>45</v>
      </c>
      <c r="T10">
        <v>20</v>
      </c>
      <c r="U10">
        <v>45</v>
      </c>
      <c r="V10" t="s">
        <v>76</v>
      </c>
      <c r="W10" t="s">
        <v>64</v>
      </c>
      <c r="X10" t="s">
        <v>64</v>
      </c>
      <c r="Z10">
        <v>0</v>
      </c>
      <c r="AA10" s="11"/>
      <c r="AB10" s="11"/>
      <c r="AC10" s="11"/>
      <c r="AD10" s="11"/>
      <c r="AE10" s="11"/>
      <c r="AF10" s="11"/>
      <c r="AG10" s="11"/>
      <c r="AH10" s="11"/>
      <c r="AI10" s="11"/>
      <c r="AJ10" s="11"/>
      <c r="AK10" s="11"/>
      <c r="AL10" s="11"/>
      <c r="AM10" s="11" t="s">
        <v>77</v>
      </c>
      <c r="AO10" t="s">
        <v>64</v>
      </c>
      <c r="AP10">
        <v>2.1084337349397591</v>
      </c>
      <c r="AQ10">
        <v>0</v>
      </c>
      <c r="AR10">
        <v>0</v>
      </c>
      <c r="AS10">
        <v>97.891566265060234</v>
      </c>
      <c r="AT10">
        <v>0</v>
      </c>
      <c r="AU10">
        <v>14</v>
      </c>
      <c r="AV10">
        <v>0</v>
      </c>
      <c r="AW10">
        <v>0</v>
      </c>
      <c r="AX10">
        <v>650</v>
      </c>
      <c r="AY10">
        <v>0</v>
      </c>
      <c r="AZ10" t="s">
        <v>76</v>
      </c>
      <c r="BB10">
        <v>0</v>
      </c>
      <c r="BC10" t="s">
        <v>118</v>
      </c>
      <c r="BD10" s="22"/>
      <c r="BE10" s="22"/>
      <c r="BF10" s="22"/>
      <c r="BG10" s="22"/>
      <c r="BH10" s="22"/>
      <c r="BI10" s="22"/>
      <c r="BJ10" s="22"/>
      <c r="BK10" s="22" t="s">
        <v>77</v>
      </c>
      <c r="BL10" t="s">
        <v>158</v>
      </c>
      <c r="BN10" s="22" t="s">
        <v>64</v>
      </c>
      <c r="BO10" s="22">
        <v>-3</v>
      </c>
      <c r="BW10" t="s">
        <v>64</v>
      </c>
      <c r="BX10" t="s">
        <v>65</v>
      </c>
      <c r="BY10" t="s">
        <v>90</v>
      </c>
      <c r="CA10" t="s">
        <v>76</v>
      </c>
      <c r="CC10" t="s">
        <v>77</v>
      </c>
      <c r="CE10" t="s">
        <v>77</v>
      </c>
    </row>
    <row r="11" spans="1:83" x14ac:dyDescent="0.25">
      <c r="A11">
        <v>1311</v>
      </c>
      <c r="B11" t="s">
        <v>59</v>
      </c>
      <c r="C11" t="s">
        <v>33</v>
      </c>
      <c r="D11" t="s">
        <v>213</v>
      </c>
      <c r="E11">
        <v>139500</v>
      </c>
      <c r="F11">
        <v>199695</v>
      </c>
      <c r="G11" t="s">
        <v>65</v>
      </c>
      <c r="H11">
        <f t="shared" si="0"/>
        <v>199695.00000000003</v>
      </c>
      <c r="I11">
        <v>18.33440127630082</v>
      </c>
      <c r="J11">
        <v>81.66559872369919</v>
      </c>
      <c r="K11">
        <v>0</v>
      </c>
      <c r="L11">
        <v>0</v>
      </c>
      <c r="M11">
        <v>36612.882628708925</v>
      </c>
      <c r="N11">
        <v>163082.1173712911</v>
      </c>
      <c r="O11">
        <v>0</v>
      </c>
      <c r="P11">
        <v>0</v>
      </c>
      <c r="Q11" t="s">
        <v>76</v>
      </c>
      <c r="R11" t="s">
        <v>64</v>
      </c>
      <c r="S11">
        <v>28.5</v>
      </c>
      <c r="T11">
        <v>28.5</v>
      </c>
      <c r="V11" t="s">
        <v>76</v>
      </c>
      <c r="W11" t="s">
        <v>64</v>
      </c>
      <c r="X11" t="s">
        <v>64</v>
      </c>
      <c r="Z11">
        <v>36612.882628708925</v>
      </c>
      <c r="AA11">
        <v>4</v>
      </c>
      <c r="AB11">
        <v>4</v>
      </c>
      <c r="AC11">
        <v>85</v>
      </c>
      <c r="AD11">
        <v>2</v>
      </c>
      <c r="AE11">
        <v>0</v>
      </c>
      <c r="AF11">
        <v>5</v>
      </c>
      <c r="AG11">
        <v>1464.5153051483571</v>
      </c>
      <c r="AH11">
        <v>1464.5153051483571</v>
      </c>
      <c r="AI11">
        <v>31120.950234402586</v>
      </c>
      <c r="AJ11">
        <v>732.25765257417856</v>
      </c>
      <c r="AK11">
        <v>0</v>
      </c>
      <c r="AL11">
        <v>1830.6441314354463</v>
      </c>
      <c r="AM11" s="18" t="s">
        <v>76</v>
      </c>
      <c r="AO11" t="s">
        <v>63</v>
      </c>
      <c r="AP11" s="11"/>
      <c r="AQ11" s="11"/>
      <c r="AR11" s="11"/>
      <c r="AS11" s="11"/>
      <c r="AT11" s="11"/>
      <c r="AU11" s="11"/>
      <c r="AV11" s="11"/>
      <c r="AW11" s="11"/>
      <c r="AX11" s="11"/>
      <c r="AY11" s="11"/>
      <c r="AZ11" s="11" t="s">
        <v>77</v>
      </c>
      <c r="BA11" t="s">
        <v>64</v>
      </c>
      <c r="BB11">
        <v>0</v>
      </c>
      <c r="BC11" t="s">
        <v>118</v>
      </c>
      <c r="BD11" s="22"/>
      <c r="BE11" s="22"/>
      <c r="BF11" s="22"/>
      <c r="BG11" s="22"/>
      <c r="BH11" s="22"/>
      <c r="BI11" s="22"/>
      <c r="BJ11" s="22" t="s">
        <v>64</v>
      </c>
      <c r="BK11" s="22" t="s">
        <v>76</v>
      </c>
      <c r="BL11" t="s">
        <v>63</v>
      </c>
      <c r="BN11" s="22" t="s">
        <v>77</v>
      </c>
      <c r="BO11" s="22"/>
      <c r="BX11" t="s">
        <v>77</v>
      </c>
      <c r="BY11" t="s">
        <v>90</v>
      </c>
      <c r="CA11" t="s">
        <v>76</v>
      </c>
      <c r="CC11" t="s">
        <v>77</v>
      </c>
      <c r="CE11" t="s">
        <v>77</v>
      </c>
    </row>
    <row r="12" spans="1:83" x14ac:dyDescent="0.25">
      <c r="A12">
        <v>1913</v>
      </c>
      <c r="B12" t="s">
        <v>59</v>
      </c>
      <c r="C12" t="s">
        <v>33</v>
      </c>
      <c r="D12" t="s">
        <v>213</v>
      </c>
      <c r="E12">
        <v>300000</v>
      </c>
      <c r="F12">
        <v>246697</v>
      </c>
      <c r="G12" t="s">
        <v>65</v>
      </c>
      <c r="H12">
        <f t="shared" si="0"/>
        <v>0</v>
      </c>
      <c r="I12" s="11"/>
      <c r="J12" s="11"/>
      <c r="K12" s="11"/>
      <c r="L12" s="11"/>
      <c r="M12" s="11"/>
      <c r="N12" s="11"/>
      <c r="O12" s="11"/>
      <c r="P12" s="11"/>
      <c r="Q12" s="11" t="s">
        <v>66</v>
      </c>
      <c r="R12" s="11"/>
      <c r="S12">
        <v>66</v>
      </c>
      <c r="T12">
        <v>15</v>
      </c>
      <c r="U12">
        <v>15</v>
      </c>
      <c r="V12" t="s">
        <v>76</v>
      </c>
      <c r="W12" t="s">
        <v>64</v>
      </c>
      <c r="X12" t="s">
        <v>64</v>
      </c>
      <c r="Z12" s="11"/>
      <c r="AA12" s="11"/>
      <c r="AB12" s="11"/>
      <c r="AC12" s="11"/>
      <c r="AD12" s="11"/>
      <c r="AE12" s="11"/>
      <c r="AF12" s="11"/>
      <c r="AG12" s="11"/>
      <c r="AH12" s="11"/>
      <c r="AI12" s="11"/>
      <c r="AJ12" s="11"/>
      <c r="AK12" s="11"/>
      <c r="AL12" s="11"/>
      <c r="AM12" s="11" t="s">
        <v>77</v>
      </c>
      <c r="AO12" t="s">
        <v>64</v>
      </c>
      <c r="AP12" s="11"/>
      <c r="AQ12" s="11"/>
      <c r="AR12" s="11"/>
      <c r="AS12" s="11"/>
      <c r="AT12" s="11"/>
      <c r="AU12" s="11"/>
      <c r="AV12" s="11"/>
      <c r="AW12" s="11"/>
      <c r="AX12" s="11"/>
      <c r="AY12" s="11"/>
      <c r="AZ12" s="11" t="s">
        <v>77</v>
      </c>
      <c r="BB12">
        <v>310.56</v>
      </c>
      <c r="BC12" t="s">
        <v>76</v>
      </c>
      <c r="BD12" s="22"/>
      <c r="BE12" s="22"/>
      <c r="BF12" s="22"/>
      <c r="BG12" s="22"/>
      <c r="BH12" s="22"/>
      <c r="BI12" s="22"/>
      <c r="BJ12" s="22"/>
      <c r="BK12" s="22" t="s">
        <v>76</v>
      </c>
      <c r="BL12" t="s">
        <v>158</v>
      </c>
      <c r="BN12" s="22" t="s">
        <v>64</v>
      </c>
      <c r="BO12" s="22">
        <v>-30</v>
      </c>
      <c r="BW12" t="s">
        <v>64</v>
      </c>
      <c r="BX12" t="s">
        <v>65</v>
      </c>
      <c r="BY12" t="s">
        <v>64</v>
      </c>
      <c r="CA12" t="s">
        <v>76</v>
      </c>
      <c r="CC12" t="s">
        <v>190</v>
      </c>
      <c r="CE12" t="s">
        <v>77</v>
      </c>
    </row>
    <row r="13" spans="1:83" x14ac:dyDescent="0.25">
      <c r="A13">
        <v>1918</v>
      </c>
      <c r="B13" t="s">
        <v>58</v>
      </c>
      <c r="C13" t="s">
        <v>33</v>
      </c>
      <c r="D13" t="s">
        <v>213</v>
      </c>
      <c r="E13">
        <v>49000</v>
      </c>
      <c r="F13">
        <v>18335.739999999998</v>
      </c>
      <c r="G13" t="s">
        <v>65</v>
      </c>
      <c r="H13">
        <f t="shared" si="0"/>
        <v>18335.739999999998</v>
      </c>
      <c r="I13">
        <v>0</v>
      </c>
      <c r="J13">
        <v>89.401409487699993</v>
      </c>
      <c r="K13">
        <v>0</v>
      </c>
      <c r="L13">
        <v>10.598590512300023</v>
      </c>
      <c r="M13">
        <v>0</v>
      </c>
      <c r="N13">
        <v>16392.41</v>
      </c>
      <c r="O13">
        <v>0</v>
      </c>
      <c r="P13">
        <v>1943.33</v>
      </c>
      <c r="Q13" t="s">
        <v>76</v>
      </c>
      <c r="S13">
        <v>40</v>
      </c>
      <c r="V13" t="s">
        <v>76</v>
      </c>
      <c r="W13" t="s">
        <v>64</v>
      </c>
      <c r="X13" t="s">
        <v>64</v>
      </c>
      <c r="Z13">
        <v>0</v>
      </c>
      <c r="AA13" s="11"/>
      <c r="AB13" s="11"/>
      <c r="AC13" s="11"/>
      <c r="AD13" s="11"/>
      <c r="AE13" s="11"/>
      <c r="AF13" s="11"/>
      <c r="AG13" s="11"/>
      <c r="AH13" s="11"/>
      <c r="AI13" s="11"/>
      <c r="AJ13" s="11"/>
      <c r="AK13" s="11"/>
      <c r="AL13" s="11"/>
      <c r="AM13" s="11" t="s">
        <v>77</v>
      </c>
      <c r="AO13" t="s">
        <v>63</v>
      </c>
      <c r="AP13" s="11"/>
      <c r="AQ13" s="11"/>
      <c r="AR13" s="11"/>
      <c r="AS13" s="11"/>
      <c r="AT13" s="11"/>
      <c r="AU13" s="11"/>
      <c r="AV13" s="11"/>
      <c r="AW13" s="11"/>
      <c r="AX13" s="11"/>
      <c r="AY13" s="11"/>
      <c r="AZ13" s="11" t="s">
        <v>77</v>
      </c>
      <c r="BB13">
        <v>0</v>
      </c>
      <c r="BC13" t="s">
        <v>118</v>
      </c>
      <c r="BD13" s="22"/>
      <c r="BE13" s="22"/>
      <c r="BF13" s="22"/>
      <c r="BG13" s="22"/>
      <c r="BH13" s="22"/>
      <c r="BI13" s="22"/>
      <c r="BJ13" s="22"/>
      <c r="BK13" s="22" t="s">
        <v>77</v>
      </c>
      <c r="BL13" t="s">
        <v>63</v>
      </c>
      <c r="BN13" s="22" t="s">
        <v>90</v>
      </c>
      <c r="BO13" s="22"/>
      <c r="BW13" t="s">
        <v>64</v>
      </c>
      <c r="BX13" t="s">
        <v>65</v>
      </c>
      <c r="BY13" t="s">
        <v>90</v>
      </c>
      <c r="CA13" t="s">
        <v>76</v>
      </c>
      <c r="CC13" t="s">
        <v>77</v>
      </c>
      <c r="CE13" t="s">
        <v>77</v>
      </c>
    </row>
    <row r="14" spans="1:83" x14ac:dyDescent="0.25">
      <c r="A14">
        <v>1919</v>
      </c>
      <c r="B14" t="s">
        <v>59</v>
      </c>
      <c r="C14" t="s">
        <v>33</v>
      </c>
      <c r="D14" t="s">
        <v>213</v>
      </c>
      <c r="F14">
        <v>360000</v>
      </c>
      <c r="G14" t="s">
        <v>65</v>
      </c>
      <c r="H14">
        <f t="shared" si="0"/>
        <v>360000</v>
      </c>
      <c r="I14">
        <v>10</v>
      </c>
      <c r="J14">
        <v>90</v>
      </c>
      <c r="K14">
        <v>0</v>
      </c>
      <c r="L14">
        <v>0</v>
      </c>
      <c r="M14">
        <v>36000</v>
      </c>
      <c r="N14">
        <v>324000</v>
      </c>
      <c r="O14">
        <v>0</v>
      </c>
      <c r="P14">
        <v>0</v>
      </c>
      <c r="Q14" t="s">
        <v>76</v>
      </c>
      <c r="S14">
        <v>21</v>
      </c>
      <c r="T14">
        <v>21</v>
      </c>
      <c r="U14">
        <v>21</v>
      </c>
      <c r="V14" t="s">
        <v>76</v>
      </c>
      <c r="W14" t="s">
        <v>64</v>
      </c>
      <c r="X14" t="s">
        <v>64</v>
      </c>
      <c r="Z14">
        <v>36000</v>
      </c>
      <c r="AA14">
        <v>1</v>
      </c>
      <c r="AB14">
        <v>1</v>
      </c>
      <c r="AC14">
        <v>95</v>
      </c>
      <c r="AD14">
        <v>0</v>
      </c>
      <c r="AE14">
        <v>1</v>
      </c>
      <c r="AF14">
        <v>2</v>
      </c>
      <c r="AG14">
        <v>360</v>
      </c>
      <c r="AH14">
        <v>360</v>
      </c>
      <c r="AI14">
        <v>34200</v>
      </c>
      <c r="AJ14">
        <v>0</v>
      </c>
      <c r="AK14">
        <v>360</v>
      </c>
      <c r="AL14">
        <v>720</v>
      </c>
      <c r="AM14" s="18" t="s">
        <v>76</v>
      </c>
      <c r="AO14" t="s">
        <v>63</v>
      </c>
      <c r="AP14" s="11"/>
      <c r="AQ14" s="11"/>
      <c r="AR14" s="11"/>
      <c r="AS14" s="11"/>
      <c r="AT14" s="11"/>
      <c r="AU14" s="11"/>
      <c r="AV14" s="11"/>
      <c r="AW14" s="11"/>
      <c r="AX14" s="11"/>
      <c r="AY14" s="11"/>
      <c r="AZ14" s="11" t="s">
        <v>77</v>
      </c>
      <c r="BC14" t="s">
        <v>77</v>
      </c>
      <c r="BD14" s="22"/>
      <c r="BE14" s="22"/>
      <c r="BF14" s="22"/>
      <c r="BG14" s="22">
        <v>197.3475</v>
      </c>
      <c r="BH14" s="22"/>
      <c r="BI14" s="22"/>
      <c r="BJ14" s="22"/>
      <c r="BK14" s="22" t="s">
        <v>77</v>
      </c>
      <c r="BL14" t="s">
        <v>77</v>
      </c>
      <c r="BN14" s="22" t="s">
        <v>77</v>
      </c>
      <c r="BO14" s="22"/>
      <c r="BX14" t="s">
        <v>77</v>
      </c>
      <c r="BY14" t="s">
        <v>77</v>
      </c>
      <c r="CA14" t="s">
        <v>201</v>
      </c>
      <c r="CC14" t="s">
        <v>77</v>
      </c>
      <c r="CE14" t="s">
        <v>77</v>
      </c>
    </row>
    <row r="15" spans="1:83" x14ac:dyDescent="0.25">
      <c r="A15">
        <v>2001</v>
      </c>
      <c r="B15" t="s">
        <v>58</v>
      </c>
      <c r="C15" t="s">
        <v>51</v>
      </c>
      <c r="D15" t="s">
        <v>213</v>
      </c>
      <c r="F15">
        <v>100</v>
      </c>
      <c r="G15" t="s">
        <v>65</v>
      </c>
      <c r="I15" s="11"/>
      <c r="J15" s="11"/>
      <c r="K15" s="11"/>
      <c r="L15" s="11"/>
      <c r="M15" s="11"/>
      <c r="N15" s="11"/>
      <c r="O15" s="11"/>
      <c r="P15" s="11"/>
      <c r="Q15" s="11" t="s">
        <v>66</v>
      </c>
      <c r="R15" s="11"/>
      <c r="V15" t="s">
        <v>77</v>
      </c>
      <c r="W15" t="s">
        <v>90</v>
      </c>
      <c r="X15" t="s">
        <v>90</v>
      </c>
      <c r="Z15" s="11"/>
      <c r="AA15" s="11"/>
      <c r="AB15" s="11"/>
      <c r="AC15" s="11"/>
      <c r="AD15" s="11"/>
      <c r="AE15" s="11"/>
      <c r="AF15" s="11"/>
      <c r="AG15" s="11"/>
      <c r="AH15" s="11"/>
      <c r="AI15" s="11"/>
      <c r="AJ15" s="11"/>
      <c r="AK15" s="11"/>
      <c r="AL15" s="11"/>
      <c r="AM15" s="11" t="s">
        <v>77</v>
      </c>
      <c r="AO15" t="s">
        <v>64</v>
      </c>
      <c r="AP15" s="11"/>
      <c r="AQ15" s="11"/>
      <c r="AR15" s="11"/>
      <c r="AS15" s="11"/>
      <c r="AT15" s="11"/>
      <c r="AU15" s="11"/>
      <c r="AV15" s="11"/>
      <c r="AW15" s="11"/>
      <c r="AX15" s="11"/>
      <c r="AY15" s="11"/>
      <c r="AZ15" s="11" t="s">
        <v>77</v>
      </c>
      <c r="BC15" t="s">
        <v>77</v>
      </c>
      <c r="BD15" s="22"/>
      <c r="BE15" s="22"/>
      <c r="BF15" s="22"/>
      <c r="BG15" s="22"/>
      <c r="BH15" s="22"/>
      <c r="BI15" s="22"/>
      <c r="BJ15" s="22"/>
      <c r="BK15" s="22" t="s">
        <v>77</v>
      </c>
      <c r="BL15" t="s">
        <v>77</v>
      </c>
      <c r="BN15" s="22" t="s">
        <v>77</v>
      </c>
      <c r="BO15" s="22"/>
      <c r="BX15" t="s">
        <v>77</v>
      </c>
      <c r="BY15" t="s">
        <v>77</v>
      </c>
      <c r="CA15" t="s">
        <v>201</v>
      </c>
      <c r="CC15" t="s">
        <v>77</v>
      </c>
      <c r="CE15" t="s">
        <v>77</v>
      </c>
    </row>
    <row r="16" spans="1:83" x14ac:dyDescent="0.25">
      <c r="A16">
        <v>2012</v>
      </c>
      <c r="B16" t="s">
        <v>58</v>
      </c>
      <c r="C16" t="s">
        <v>52</v>
      </c>
      <c r="D16" t="s">
        <v>213</v>
      </c>
      <c r="E16">
        <v>1000000</v>
      </c>
      <c r="F16">
        <v>300000</v>
      </c>
      <c r="G16" t="s">
        <v>65</v>
      </c>
      <c r="H16">
        <f t="shared" si="0"/>
        <v>300000</v>
      </c>
      <c r="I16">
        <v>0</v>
      </c>
      <c r="J16">
        <v>100</v>
      </c>
      <c r="K16">
        <v>0</v>
      </c>
      <c r="L16">
        <v>0</v>
      </c>
      <c r="M16">
        <v>0</v>
      </c>
      <c r="N16">
        <v>300000</v>
      </c>
      <c r="O16">
        <v>0</v>
      </c>
      <c r="P16">
        <v>0</v>
      </c>
      <c r="Q16" t="s">
        <v>76</v>
      </c>
      <c r="S16">
        <v>100</v>
      </c>
      <c r="V16" t="s">
        <v>76</v>
      </c>
      <c r="W16" t="s">
        <v>89</v>
      </c>
      <c r="X16" t="s">
        <v>89</v>
      </c>
      <c r="Z16">
        <v>0</v>
      </c>
      <c r="AA16" s="12"/>
      <c r="AB16" s="12"/>
      <c r="AC16" s="12"/>
      <c r="AD16" s="12"/>
      <c r="AE16" s="12"/>
      <c r="AF16" s="12"/>
      <c r="AG16" s="12"/>
      <c r="AH16" s="12"/>
      <c r="AI16" s="12"/>
      <c r="AJ16" s="12"/>
      <c r="AK16" s="12"/>
      <c r="AL16" s="12"/>
      <c r="AM16" s="12" t="s">
        <v>118</v>
      </c>
      <c r="AO16" t="s">
        <v>63</v>
      </c>
      <c r="AP16" s="11"/>
      <c r="AQ16" s="11"/>
      <c r="AR16" s="11"/>
      <c r="AS16" s="11"/>
      <c r="AT16" s="11"/>
      <c r="AU16" s="11"/>
      <c r="AV16" s="11"/>
      <c r="AW16" s="11"/>
      <c r="AX16" s="11"/>
      <c r="AY16" s="11"/>
      <c r="AZ16" s="11" t="s">
        <v>77</v>
      </c>
      <c r="BC16" t="s">
        <v>77</v>
      </c>
      <c r="BD16" s="22"/>
      <c r="BE16" s="22"/>
      <c r="BF16" s="22"/>
      <c r="BG16" s="22"/>
      <c r="BH16" s="22"/>
      <c r="BI16" s="22"/>
      <c r="BJ16" s="22"/>
      <c r="BK16" s="22" t="s">
        <v>77</v>
      </c>
      <c r="BL16" t="s">
        <v>77</v>
      </c>
      <c r="BN16" s="22" t="s">
        <v>77</v>
      </c>
      <c r="BO16" s="22"/>
      <c r="BX16" t="s">
        <v>77</v>
      </c>
      <c r="BY16" t="s">
        <v>90</v>
      </c>
      <c r="CA16" t="s">
        <v>76</v>
      </c>
      <c r="CC16" t="s">
        <v>77</v>
      </c>
      <c r="CE16" t="s">
        <v>77</v>
      </c>
    </row>
    <row r="17" spans="1:83" x14ac:dyDescent="0.25">
      <c r="A17">
        <v>2064</v>
      </c>
      <c r="B17" t="s">
        <v>59</v>
      </c>
      <c r="C17" t="s">
        <v>31</v>
      </c>
      <c r="D17" t="s">
        <v>213</v>
      </c>
      <c r="E17">
        <v>450226</v>
      </c>
      <c r="F17">
        <v>324068.94</v>
      </c>
      <c r="G17" t="s">
        <v>65</v>
      </c>
      <c r="H17">
        <f t="shared" si="0"/>
        <v>324068.93999999994</v>
      </c>
      <c r="I17">
        <v>0</v>
      </c>
      <c r="J17">
        <v>99.704390409398613</v>
      </c>
      <c r="K17">
        <v>0.20307344288793241</v>
      </c>
      <c r="L17">
        <v>9.2536147713444275E-2</v>
      </c>
      <c r="M17">
        <v>0</v>
      </c>
      <c r="N17">
        <v>323110.96113319974</v>
      </c>
      <c r="O17">
        <v>658.09795378842796</v>
      </c>
      <c r="P17">
        <v>299.8809130117931</v>
      </c>
      <c r="Q17" t="s">
        <v>76</v>
      </c>
      <c r="R17" t="s">
        <v>64</v>
      </c>
      <c r="S17">
        <v>79.180000000000007</v>
      </c>
      <c r="T17">
        <v>25</v>
      </c>
      <c r="U17">
        <v>0</v>
      </c>
      <c r="V17" t="s">
        <v>76</v>
      </c>
      <c r="W17" t="s">
        <v>63</v>
      </c>
      <c r="X17" t="s">
        <v>63</v>
      </c>
      <c r="Z17">
        <v>0</v>
      </c>
      <c r="AA17" s="11"/>
      <c r="AB17" s="11"/>
      <c r="AC17" s="11"/>
      <c r="AD17" s="11"/>
      <c r="AE17" s="11"/>
      <c r="AF17" s="11"/>
      <c r="AG17" s="11"/>
      <c r="AH17" s="11"/>
      <c r="AI17" s="11"/>
      <c r="AJ17" s="11"/>
      <c r="AK17" s="11"/>
      <c r="AL17" s="11"/>
      <c r="AM17" s="11" t="s">
        <v>77</v>
      </c>
      <c r="AO17" t="s">
        <v>64</v>
      </c>
      <c r="AZ17" t="s">
        <v>137</v>
      </c>
      <c r="BB17">
        <v>2816.88</v>
      </c>
      <c r="BC17" t="s">
        <v>76</v>
      </c>
      <c r="BD17" s="22"/>
      <c r="BE17" s="22"/>
      <c r="BF17" s="22"/>
      <c r="BG17" s="22"/>
      <c r="BH17" s="22"/>
      <c r="BI17" s="22"/>
      <c r="BJ17" s="22" t="s">
        <v>64</v>
      </c>
      <c r="BK17" s="22" t="s">
        <v>76</v>
      </c>
      <c r="BL17" t="s">
        <v>77</v>
      </c>
      <c r="BN17" s="22" t="s">
        <v>77</v>
      </c>
      <c r="BO17" s="22"/>
      <c r="BX17" t="s">
        <v>77</v>
      </c>
      <c r="BY17" t="s">
        <v>63</v>
      </c>
      <c r="CA17" t="s">
        <v>76</v>
      </c>
      <c r="CC17" t="s">
        <v>77</v>
      </c>
      <c r="CE17" t="s">
        <v>77</v>
      </c>
    </row>
    <row r="18" spans="1:83" x14ac:dyDescent="0.25">
      <c r="A18">
        <v>2124</v>
      </c>
      <c r="B18" t="s">
        <v>59</v>
      </c>
      <c r="C18" t="s">
        <v>55</v>
      </c>
      <c r="D18" t="s">
        <v>213</v>
      </c>
      <c r="E18">
        <v>90000</v>
      </c>
      <c r="F18">
        <v>111965.9</v>
      </c>
      <c r="G18" t="s">
        <v>65</v>
      </c>
      <c r="H18">
        <f t="shared" si="0"/>
        <v>111965.90000000001</v>
      </c>
      <c r="I18">
        <v>6</v>
      </c>
      <c r="J18">
        <v>55</v>
      </c>
      <c r="K18">
        <v>1</v>
      </c>
      <c r="L18">
        <v>38</v>
      </c>
      <c r="M18">
        <v>6717.9539999999988</v>
      </c>
      <c r="N18">
        <v>61581.245000000003</v>
      </c>
      <c r="O18">
        <v>1119.6589999999999</v>
      </c>
      <c r="P18">
        <v>42547.042000000001</v>
      </c>
      <c r="Q18" t="s">
        <v>76</v>
      </c>
      <c r="S18">
        <v>80</v>
      </c>
      <c r="V18" t="s">
        <v>76</v>
      </c>
      <c r="W18" t="s">
        <v>64</v>
      </c>
      <c r="X18" t="s">
        <v>64</v>
      </c>
      <c r="Z18">
        <v>6717.9539999999988</v>
      </c>
      <c r="AA18">
        <v>5</v>
      </c>
      <c r="AB18">
        <v>5</v>
      </c>
      <c r="AC18">
        <v>70</v>
      </c>
      <c r="AD18">
        <v>5</v>
      </c>
      <c r="AE18">
        <v>0</v>
      </c>
      <c r="AF18">
        <v>15</v>
      </c>
      <c r="AG18">
        <v>335.89769999999999</v>
      </c>
      <c r="AH18">
        <v>335.89769999999999</v>
      </c>
      <c r="AI18">
        <v>4702.5677999999989</v>
      </c>
      <c r="AJ18">
        <v>335.89769999999999</v>
      </c>
      <c r="AK18">
        <v>0</v>
      </c>
      <c r="AL18">
        <v>1007.6930999999998</v>
      </c>
      <c r="AM18" s="18" t="s">
        <v>76</v>
      </c>
      <c r="AO18" t="s">
        <v>64</v>
      </c>
      <c r="AP18">
        <v>5</v>
      </c>
      <c r="AQ18">
        <v>5</v>
      </c>
      <c r="AR18">
        <v>70</v>
      </c>
      <c r="AS18">
        <v>15</v>
      </c>
      <c r="AT18">
        <v>5</v>
      </c>
      <c r="AU18">
        <v>55.982949999999995</v>
      </c>
      <c r="AV18">
        <v>55.982949999999995</v>
      </c>
      <c r="AW18">
        <v>783.76129999999989</v>
      </c>
      <c r="AX18">
        <v>167.94884999999999</v>
      </c>
      <c r="AY18">
        <v>55.982949999999995</v>
      </c>
      <c r="AZ18" t="s">
        <v>76</v>
      </c>
      <c r="BB18">
        <v>0</v>
      </c>
      <c r="BC18" t="s">
        <v>118</v>
      </c>
      <c r="BD18" s="22"/>
      <c r="BE18" s="22"/>
      <c r="BF18" s="22"/>
      <c r="BG18" s="22"/>
      <c r="BH18" s="22"/>
      <c r="BI18" s="22"/>
      <c r="BJ18" s="22" t="s">
        <v>64</v>
      </c>
      <c r="BK18" s="22" t="s">
        <v>76</v>
      </c>
      <c r="BL18" t="s">
        <v>63</v>
      </c>
      <c r="BN18" s="22" t="s">
        <v>77</v>
      </c>
      <c r="BO18" s="22"/>
      <c r="BX18" t="s">
        <v>77</v>
      </c>
      <c r="BY18" t="s">
        <v>90</v>
      </c>
      <c r="CA18" t="s">
        <v>76</v>
      </c>
      <c r="CC18" t="s">
        <v>77</v>
      </c>
      <c r="CE18" t="s">
        <v>77</v>
      </c>
    </row>
    <row r="19" spans="1:83" x14ac:dyDescent="0.25">
      <c r="A19">
        <v>2366</v>
      </c>
      <c r="B19" t="s">
        <v>58</v>
      </c>
      <c r="C19" t="s">
        <v>28</v>
      </c>
      <c r="D19" t="s">
        <v>213</v>
      </c>
      <c r="E19">
        <v>23793</v>
      </c>
      <c r="F19">
        <v>8409</v>
      </c>
      <c r="G19" t="s">
        <v>65</v>
      </c>
      <c r="H19">
        <f t="shared" si="0"/>
        <v>8409</v>
      </c>
      <c r="I19">
        <v>0</v>
      </c>
      <c r="J19">
        <v>0</v>
      </c>
      <c r="K19">
        <v>100</v>
      </c>
      <c r="L19">
        <v>0</v>
      </c>
      <c r="M19">
        <v>0</v>
      </c>
      <c r="N19">
        <v>0</v>
      </c>
      <c r="O19">
        <v>8409</v>
      </c>
      <c r="P19">
        <v>0</v>
      </c>
      <c r="Q19" t="s">
        <v>76</v>
      </c>
      <c r="R19" t="s">
        <v>64</v>
      </c>
      <c r="V19" t="s">
        <v>77</v>
      </c>
      <c r="W19" t="s">
        <v>77</v>
      </c>
      <c r="X19" t="s">
        <v>77</v>
      </c>
      <c r="Z19">
        <v>0</v>
      </c>
      <c r="AA19" s="11"/>
      <c r="AB19" s="11"/>
      <c r="AC19" s="11"/>
      <c r="AD19" s="11"/>
      <c r="AE19" s="11"/>
      <c r="AF19" s="11"/>
      <c r="AG19" s="11"/>
      <c r="AH19" s="11"/>
      <c r="AI19" s="11"/>
      <c r="AJ19" s="11"/>
      <c r="AK19" s="11"/>
      <c r="AL19" s="11"/>
      <c r="AM19" s="11" t="s">
        <v>77</v>
      </c>
      <c r="AO19" t="s">
        <v>64</v>
      </c>
      <c r="AP19" s="11"/>
      <c r="AQ19" s="11"/>
      <c r="AR19" s="11"/>
      <c r="AS19" s="11"/>
      <c r="AT19" s="11"/>
      <c r="AU19" s="11"/>
      <c r="AV19" s="11"/>
      <c r="AW19" s="11"/>
      <c r="AX19" s="11"/>
      <c r="AY19" s="11"/>
      <c r="AZ19" s="11" t="s">
        <v>77</v>
      </c>
      <c r="BA19" t="s">
        <v>64</v>
      </c>
      <c r="BC19" t="s">
        <v>77</v>
      </c>
      <c r="BD19" s="22"/>
      <c r="BE19" s="22"/>
      <c r="BF19" s="22"/>
      <c r="BG19" s="22"/>
      <c r="BH19" s="22"/>
      <c r="BI19" s="22"/>
      <c r="BJ19" s="22"/>
      <c r="BK19" s="22" t="s">
        <v>77</v>
      </c>
      <c r="BL19" t="s">
        <v>77</v>
      </c>
      <c r="BN19" s="22" t="s">
        <v>77</v>
      </c>
      <c r="BO19" s="22"/>
      <c r="BX19" t="s">
        <v>77</v>
      </c>
      <c r="BY19" t="s">
        <v>77</v>
      </c>
      <c r="CA19" t="s">
        <v>201</v>
      </c>
      <c r="CC19" t="s">
        <v>77</v>
      </c>
      <c r="CE19" t="s">
        <v>77</v>
      </c>
    </row>
    <row r="20" spans="1:83" x14ac:dyDescent="0.25">
      <c r="A20">
        <v>2374</v>
      </c>
      <c r="B20" t="s">
        <v>58</v>
      </c>
      <c r="C20" t="s">
        <v>26</v>
      </c>
      <c r="D20" t="s">
        <v>213</v>
      </c>
      <c r="E20">
        <v>41670</v>
      </c>
      <c r="F20">
        <v>37662</v>
      </c>
      <c r="G20" t="s">
        <v>65</v>
      </c>
      <c r="H20">
        <f t="shared" si="0"/>
        <v>0</v>
      </c>
      <c r="I20" s="11"/>
      <c r="J20" s="11"/>
      <c r="K20" s="11"/>
      <c r="L20" s="11"/>
      <c r="M20" s="11"/>
      <c r="N20" s="11"/>
      <c r="O20" s="11"/>
      <c r="P20" s="11"/>
      <c r="Q20" s="11" t="s">
        <v>66</v>
      </c>
      <c r="R20" s="11"/>
      <c r="V20" t="s">
        <v>77</v>
      </c>
      <c r="W20" t="s">
        <v>77</v>
      </c>
      <c r="X20" t="s">
        <v>77</v>
      </c>
      <c r="AA20" s="11"/>
      <c r="AB20" s="11"/>
      <c r="AC20" s="11"/>
      <c r="AD20" s="11"/>
      <c r="AE20" s="11"/>
      <c r="AF20" s="11"/>
      <c r="AG20" s="11"/>
      <c r="AH20" s="11"/>
      <c r="AI20" s="11"/>
      <c r="AJ20" s="11"/>
      <c r="AK20" s="11"/>
      <c r="AL20" s="11"/>
      <c r="AM20" s="11" t="s">
        <v>77</v>
      </c>
      <c r="AO20" t="s">
        <v>77</v>
      </c>
      <c r="AP20" s="11"/>
      <c r="AQ20" s="11"/>
      <c r="AR20" s="11"/>
      <c r="AS20" s="11"/>
      <c r="AT20" s="11"/>
      <c r="AU20" s="11"/>
      <c r="AV20" s="11"/>
      <c r="AW20" s="11"/>
      <c r="AX20" s="11"/>
      <c r="AY20" s="11"/>
      <c r="AZ20" s="11" t="s">
        <v>77</v>
      </c>
      <c r="BC20" t="s">
        <v>77</v>
      </c>
      <c r="BD20" s="22"/>
      <c r="BE20" s="22"/>
      <c r="BF20" s="22"/>
      <c r="BG20" s="22"/>
      <c r="BH20" s="22"/>
      <c r="BI20" s="22"/>
      <c r="BJ20" s="22"/>
      <c r="BK20" s="22" t="s">
        <v>77</v>
      </c>
      <c r="BL20" t="s">
        <v>77</v>
      </c>
      <c r="BN20" s="22" t="s">
        <v>77</v>
      </c>
      <c r="BO20" s="22"/>
      <c r="BX20" t="s">
        <v>77</v>
      </c>
      <c r="BY20" t="s">
        <v>77</v>
      </c>
      <c r="CA20" t="s">
        <v>201</v>
      </c>
      <c r="CC20" t="s">
        <v>77</v>
      </c>
      <c r="CE20" t="s">
        <v>77</v>
      </c>
    </row>
    <row r="22" spans="1:83" x14ac:dyDescent="0.25">
      <c r="A22" s="14" t="s">
        <v>12</v>
      </c>
      <c r="B22" s="14" t="s">
        <v>62</v>
      </c>
      <c r="C22" s="16" t="s">
        <v>85</v>
      </c>
      <c r="D22" s="16" t="s">
        <v>209</v>
      </c>
      <c r="E22" s="13" t="s">
        <v>84</v>
      </c>
      <c r="F22" t="s">
        <v>83</v>
      </c>
      <c r="G22" t="s">
        <v>86</v>
      </c>
      <c r="I22" t="s">
        <v>67</v>
      </c>
      <c r="J22" t="s">
        <v>68</v>
      </c>
      <c r="K22" t="s">
        <v>69</v>
      </c>
      <c r="L22" t="s">
        <v>70</v>
      </c>
      <c r="M22" t="s">
        <v>71</v>
      </c>
      <c r="N22" t="s">
        <v>72</v>
      </c>
      <c r="O22" t="s">
        <v>73</v>
      </c>
      <c r="P22" t="s">
        <v>74</v>
      </c>
      <c r="Q22" t="s">
        <v>81</v>
      </c>
      <c r="R22" t="s">
        <v>75</v>
      </c>
      <c r="S22" t="s">
        <v>78</v>
      </c>
      <c r="T22" t="s">
        <v>79</v>
      </c>
      <c r="U22" t="s">
        <v>80</v>
      </c>
      <c r="V22" t="s">
        <v>62</v>
      </c>
      <c r="W22" t="s">
        <v>114</v>
      </c>
      <c r="X22" t="s">
        <v>115</v>
      </c>
      <c r="Y22" t="s">
        <v>117</v>
      </c>
      <c r="AA22" t="s">
        <v>119</v>
      </c>
      <c r="AB22" t="s">
        <v>120</v>
      </c>
      <c r="AC22" t="s">
        <v>121</v>
      </c>
      <c r="AD22" t="s">
        <v>122</v>
      </c>
      <c r="AE22" t="s">
        <v>123</v>
      </c>
      <c r="AF22" t="s">
        <v>124</v>
      </c>
      <c r="AG22" t="s">
        <v>125</v>
      </c>
      <c r="AH22" t="s">
        <v>126</v>
      </c>
      <c r="AI22" t="s">
        <v>127</v>
      </c>
      <c r="AJ22" t="s">
        <v>128</v>
      </c>
      <c r="AK22" t="s">
        <v>129</v>
      </c>
      <c r="AL22" t="s">
        <v>130</v>
      </c>
      <c r="AM22" t="s">
        <v>132</v>
      </c>
      <c r="AN22" t="s">
        <v>133</v>
      </c>
      <c r="AO22" s="18" t="s">
        <v>135</v>
      </c>
      <c r="AP22" s="20" t="s">
        <v>119</v>
      </c>
      <c r="AQ22" s="20" t="s">
        <v>120</v>
      </c>
      <c r="AR22" s="20" t="s">
        <v>139</v>
      </c>
      <c r="AS22" s="20" t="s">
        <v>140</v>
      </c>
      <c r="AT22" s="20" t="s">
        <v>124</v>
      </c>
      <c r="AU22" s="20" t="s">
        <v>141</v>
      </c>
      <c r="AV22" s="20" t="s">
        <v>142</v>
      </c>
      <c r="AW22" s="20" t="s">
        <v>143</v>
      </c>
      <c r="AX22" s="20" t="s">
        <v>144</v>
      </c>
      <c r="AY22" s="20" t="s">
        <v>145</v>
      </c>
      <c r="AZ22" s="21" t="s">
        <v>146</v>
      </c>
      <c r="BA22" s="18" t="s">
        <v>138</v>
      </c>
      <c r="BB22" t="s">
        <v>148</v>
      </c>
      <c r="BC22" t="s">
        <v>146</v>
      </c>
      <c r="BD22" s="22" t="s">
        <v>150</v>
      </c>
      <c r="BE22" s="22" t="s">
        <v>151</v>
      </c>
      <c r="BF22" s="22" t="s">
        <v>152</v>
      </c>
      <c r="BG22" s="22" t="s">
        <v>153</v>
      </c>
      <c r="BH22" s="22" t="s">
        <v>154</v>
      </c>
      <c r="BI22" s="22" t="s">
        <v>155</v>
      </c>
      <c r="BJ22" s="22" t="s">
        <v>156</v>
      </c>
      <c r="BK22" s="22" t="s">
        <v>146</v>
      </c>
      <c r="BL22" t="s">
        <v>161</v>
      </c>
      <c r="BN22" s="28" t="s">
        <v>164</v>
      </c>
      <c r="BO22" s="28" t="s">
        <v>165</v>
      </c>
      <c r="BP22" t="s">
        <v>167</v>
      </c>
      <c r="BQ22" t="s">
        <v>168</v>
      </c>
      <c r="BR22" t="s">
        <v>169</v>
      </c>
      <c r="BS22" t="s">
        <v>170</v>
      </c>
      <c r="BT22" t="s">
        <v>171</v>
      </c>
      <c r="BU22" t="s">
        <v>172</v>
      </c>
      <c r="BW22" t="s">
        <v>195</v>
      </c>
      <c r="BX22" t="s">
        <v>163</v>
      </c>
      <c r="BY22" t="s">
        <v>175</v>
      </c>
      <c r="BZ22" t="s">
        <v>177</v>
      </c>
      <c r="CA22" t="s">
        <v>163</v>
      </c>
      <c r="CB22" t="s">
        <v>179</v>
      </c>
      <c r="CC22" t="s">
        <v>146</v>
      </c>
      <c r="CD22" t="s">
        <v>178</v>
      </c>
      <c r="CE22" t="s">
        <v>146</v>
      </c>
    </row>
    <row r="23" spans="1:83" x14ac:dyDescent="0.25">
      <c r="E23">
        <f>AVERAGE(E3:E20)</f>
        <v>221818</v>
      </c>
      <c r="F23">
        <f>AVERAGE(F3:F20)</f>
        <v>189351.74322222223</v>
      </c>
      <c r="H23">
        <f t="shared" ref="H23:BO23" si="1">AVERAGE(H3:H20)</f>
        <v>177641.99411764706</v>
      </c>
      <c r="I23">
        <f t="shared" si="1"/>
        <v>3.7390994745877202</v>
      </c>
      <c r="J23">
        <f t="shared" si="1"/>
        <v>78.542104585332936</v>
      </c>
      <c r="K23">
        <f t="shared" si="1"/>
        <v>10.233618553108219</v>
      </c>
      <c r="L23">
        <f t="shared" si="1"/>
        <v>7.4851773869711229</v>
      </c>
      <c r="M23">
        <f t="shared" si="1"/>
        <v>6789.9263251417069</v>
      </c>
      <c r="N23">
        <f t="shared" si="1"/>
        <v>201531.95184665118</v>
      </c>
      <c r="O23">
        <f t="shared" si="1"/>
        <v>1238.7170329816449</v>
      </c>
      <c r="P23">
        <f t="shared" si="1"/>
        <v>6147.5405095111946</v>
      </c>
      <c r="S23">
        <f t="shared" si="1"/>
        <v>61.82866666666667</v>
      </c>
      <c r="T23">
        <f t="shared" si="1"/>
        <v>23.944444444444443</v>
      </c>
      <c r="U23">
        <f t="shared" si="1"/>
        <v>41</v>
      </c>
      <c r="Y23">
        <v>8065.5417691358243</v>
      </c>
      <c r="AA23">
        <f t="shared" si="1"/>
        <v>5</v>
      </c>
      <c r="AB23">
        <f t="shared" si="1"/>
        <v>4.2</v>
      </c>
      <c r="AC23">
        <f t="shared" si="1"/>
        <v>75.8</v>
      </c>
      <c r="AD23">
        <f t="shared" si="1"/>
        <v>8.4</v>
      </c>
      <c r="AE23">
        <f t="shared" si="1"/>
        <v>1.2</v>
      </c>
      <c r="AF23">
        <f t="shared" si="1"/>
        <v>5.4</v>
      </c>
      <c r="AG23">
        <f t="shared" si="1"/>
        <v>593.10591365247433</v>
      </c>
      <c r="AH23">
        <f t="shared" si="1"/>
        <v>473.10591365247421</v>
      </c>
      <c r="AI23">
        <f t="shared" si="1"/>
        <v>16140.843482617336</v>
      </c>
      <c r="AJ23">
        <f t="shared" si="1"/>
        <v>685.67769576044134</v>
      </c>
      <c r="AK23">
        <f t="shared" si="1"/>
        <v>222</v>
      </c>
      <c r="AL23">
        <f t="shared" si="1"/>
        <v>861.66744628708909</v>
      </c>
      <c r="AP23">
        <f t="shared" si="1"/>
        <v>2.860535667851261</v>
      </c>
      <c r="AQ23">
        <f t="shared" si="1"/>
        <v>4.9903344499972544</v>
      </c>
      <c r="AR23">
        <f t="shared" si="1"/>
        <v>25.862265912460874</v>
      </c>
      <c r="AS23">
        <f t="shared" si="1"/>
        <v>61.566286233406359</v>
      </c>
      <c r="AT23">
        <f t="shared" si="1"/>
        <v>4.7205777362842545</v>
      </c>
      <c r="AU23">
        <f t="shared" si="1"/>
        <v>72.985354044943833</v>
      </c>
      <c r="AV23">
        <f t="shared" si="1"/>
        <v>112.90771121477913</v>
      </c>
      <c r="AW23">
        <f t="shared" si="1"/>
        <v>436.8005666709866</v>
      </c>
      <c r="AX23">
        <f t="shared" si="1"/>
        <v>968.79591834658515</v>
      </c>
      <c r="AY23">
        <f t="shared" si="1"/>
        <v>57.500119620951352</v>
      </c>
      <c r="BB23">
        <f t="shared" si="1"/>
        <v>313.74400000000003</v>
      </c>
      <c r="BD23">
        <f t="shared" si="1"/>
        <v>0</v>
      </c>
      <c r="BE23">
        <f t="shared" si="1"/>
        <v>0</v>
      </c>
      <c r="BG23">
        <f t="shared" si="1"/>
        <v>197.3475</v>
      </c>
      <c r="BO23">
        <f t="shared" si="1"/>
        <v>-7.75</v>
      </c>
      <c r="BZ23">
        <f t="shared" ref="BZ23:CD23" si="2">AVERAGE(BZ3:BZ20)</f>
        <v>2981.5</v>
      </c>
      <c r="CB23">
        <f t="shared" si="2"/>
        <v>2981.5</v>
      </c>
      <c r="CD23">
        <f t="shared" si="2"/>
        <v>53.5</v>
      </c>
    </row>
    <row r="24" spans="1:83" x14ac:dyDescent="0.25">
      <c r="V24" t="s">
        <v>64</v>
      </c>
      <c r="W24">
        <f>COUNTIF(W3:W18,"YES")</f>
        <v>12</v>
      </c>
      <c r="X24">
        <f>COUNTIF(X3:X18,"YES")</f>
        <v>10</v>
      </c>
      <c r="BA24" t="s">
        <v>226</v>
      </c>
      <c r="BB24">
        <f>AVERAGEIF(BB3:BB21,"&gt;0")</f>
        <v>1045.8133333333333</v>
      </c>
      <c r="BK24" t="s">
        <v>158</v>
      </c>
      <c r="BL24">
        <f>COUNTIF(BL3:BL20,"NO")</f>
        <v>6</v>
      </c>
      <c r="BM24" t="s">
        <v>64</v>
      </c>
      <c r="BN24">
        <f>COUNTIF(BN3:BN20,"YES")</f>
        <v>4</v>
      </c>
      <c r="BX24" t="s">
        <v>64</v>
      </c>
      <c r="BY24">
        <f>COUNTIF(BY3:BY20,"YES")</f>
        <v>4</v>
      </c>
    </row>
    <row r="25" spans="1:83" x14ac:dyDescent="0.25">
      <c r="V25" t="s">
        <v>63</v>
      </c>
      <c r="W25">
        <f>COUNTIF(W3:W18,"NO")</f>
        <v>4</v>
      </c>
      <c r="X25">
        <f>COUNTIF(X3:X18,"NO")</f>
        <v>5</v>
      </c>
      <c r="AN25" t="s">
        <v>64</v>
      </c>
      <c r="AO25">
        <f>COUNTIF(AO3:AO20,"YES")</f>
        <v>10</v>
      </c>
      <c r="AU25">
        <f>SUM(AU3:AU20)</f>
        <v>364.92677022471918</v>
      </c>
      <c r="AV25">
        <f t="shared" ref="AV25:AY25" si="3">SUM(AV3:AV20)</f>
        <v>564.53855607389562</v>
      </c>
      <c r="AW25">
        <f t="shared" si="3"/>
        <v>2184.002833354933</v>
      </c>
      <c r="AX25">
        <f t="shared" si="3"/>
        <v>4843.9795917329257</v>
      </c>
      <c r="AY25">
        <f t="shared" si="3"/>
        <v>287.50059810475676</v>
      </c>
      <c r="AZ25">
        <f>SUM(AT25:AY25)</f>
        <v>8244.9483494912292</v>
      </c>
      <c r="BK25" t="s">
        <v>63</v>
      </c>
      <c r="BL25">
        <f>COUNTIF(BL3:BL20,"NO")</f>
        <v>6</v>
      </c>
      <c r="BM25" t="s">
        <v>63</v>
      </c>
      <c r="BN25">
        <f>COUNTIF(BN3:BN20,"NO")</f>
        <v>1</v>
      </c>
      <c r="BO25">
        <f>COUNTA(BO3:BO20)</f>
        <v>4</v>
      </c>
      <c r="BX25" t="s">
        <v>63</v>
      </c>
      <c r="BY25">
        <f>COUNTIF(BY3:BY20,"NO")</f>
        <v>8</v>
      </c>
    </row>
    <row r="26" spans="1:83" x14ac:dyDescent="0.25">
      <c r="V26" t="s">
        <v>183</v>
      </c>
      <c r="W26">
        <f>SUM(W24:W25)</f>
        <v>16</v>
      </c>
      <c r="X26">
        <f>SUM(X24:X25)</f>
        <v>15</v>
      </c>
      <c r="Z26" t="s">
        <v>267</v>
      </c>
      <c r="AA26">
        <f>SUM(Z3:Z20)</f>
        <v>94882.002259849061</v>
      </c>
      <c r="AF26" t="s">
        <v>269</v>
      </c>
      <c r="AG26">
        <f>SUM(AG3:AG20)</f>
        <v>2965.5295682623714</v>
      </c>
      <c r="AH26">
        <f t="shared" ref="AH26:AL26" si="4">SUM(AH3:AH20)</f>
        <v>2365.529568262371</v>
      </c>
      <c r="AI26">
        <f t="shared" si="4"/>
        <v>80704.217413086677</v>
      </c>
      <c r="AJ26">
        <f t="shared" si="4"/>
        <v>3428.3884788022065</v>
      </c>
      <c r="AK26">
        <f t="shared" si="4"/>
        <v>1110</v>
      </c>
      <c r="AL26">
        <f t="shared" si="4"/>
        <v>4308.3372314354456</v>
      </c>
      <c r="AN26" t="s">
        <v>134</v>
      </c>
      <c r="AO26">
        <f>COUNTIF(AO3:AO20,"TWO")</f>
        <v>1</v>
      </c>
      <c r="AU26">
        <f>AU25/AZ25</f>
        <v>4.4260649643395003E-2</v>
      </c>
      <c r="AV26">
        <f>AV25/AZ25</f>
        <v>6.8470842040960947E-2</v>
      </c>
      <c r="AW26">
        <f>AW25/AZ25</f>
        <v>0.2648898138324543</v>
      </c>
      <c r="AX26">
        <f>AX25/AZ25</f>
        <v>0.58750878555010388</v>
      </c>
      <c r="AY26">
        <f>AY25/AZ25</f>
        <v>3.4869908933085982E-2</v>
      </c>
      <c r="AZ26">
        <f>SUM(AT26:AY26)</f>
        <v>1.0000000000000002</v>
      </c>
      <c r="BK26" t="s">
        <v>183</v>
      </c>
      <c r="BL26">
        <f>BL24+BL25</f>
        <v>12</v>
      </c>
      <c r="BM26" t="s">
        <v>183</v>
      </c>
      <c r="BN26">
        <f>SUM(BN24:BN25)</f>
        <v>5</v>
      </c>
      <c r="BX26" t="s">
        <v>183</v>
      </c>
      <c r="BY26">
        <f>BY24+BY25</f>
        <v>12</v>
      </c>
    </row>
    <row r="27" spans="1:83" x14ac:dyDescent="0.25">
      <c r="H27" t="s">
        <v>262</v>
      </c>
      <c r="M27" t="s">
        <v>263</v>
      </c>
      <c r="N27" t="s">
        <v>264</v>
      </c>
      <c r="O27" t="s">
        <v>265</v>
      </c>
      <c r="P27" t="s">
        <v>261</v>
      </c>
      <c r="V27" t="s">
        <v>184</v>
      </c>
      <c r="W27" s="38">
        <f>W24/W26</f>
        <v>0.75</v>
      </c>
      <c r="X27" s="38">
        <f>X24/X26</f>
        <v>0.66666666666666663</v>
      </c>
      <c r="AG27">
        <f>AG26/$AA26</f>
        <v>3.125492187802708E-2</v>
      </c>
      <c r="AH27">
        <f t="shared" ref="AH27:AL27" si="5">AH26/$AA26</f>
        <v>2.4931277923330514E-2</v>
      </c>
      <c r="AI27">
        <f t="shared" si="5"/>
        <v>0.8505745609379709</v>
      </c>
      <c r="AJ27">
        <f t="shared" si="5"/>
        <v>3.6133180130548191E-2</v>
      </c>
      <c r="AK27">
        <f t="shared" si="5"/>
        <v>1.1698741316188638E-2</v>
      </c>
      <c r="AL27">
        <f t="shared" si="5"/>
        <v>4.540731781393479E-2</v>
      </c>
      <c r="AN27" t="s">
        <v>63</v>
      </c>
      <c r="AO27">
        <f>COUNTIF(AO3:AO20,"NO")</f>
        <v>6</v>
      </c>
      <c r="AR27" t="s">
        <v>288</v>
      </c>
      <c r="AS27">
        <v>1087</v>
      </c>
      <c r="AU27" s="59">
        <f>AU26*AS27</f>
        <v>48.111326162370368</v>
      </c>
      <c r="AV27" s="59">
        <f>AV26*AS27</f>
        <v>74.427805298524547</v>
      </c>
      <c r="AW27" s="59">
        <f>AW26*AS27</f>
        <v>287.93522763587782</v>
      </c>
      <c r="AX27" s="59">
        <f>AX26*AS27</f>
        <v>638.62204989296288</v>
      </c>
      <c r="AY27" s="59">
        <f>AY26*AS27</f>
        <v>37.903591010264464</v>
      </c>
      <c r="BL27">
        <f>BL24/BL26</f>
        <v>0.5</v>
      </c>
      <c r="BM27" t="s">
        <v>216</v>
      </c>
      <c r="BN27">
        <f>BN24/BN26</f>
        <v>0.8</v>
      </c>
      <c r="BX27" t="s">
        <v>216</v>
      </c>
      <c r="BY27">
        <f>BY24/BY26</f>
        <v>0.33333333333333331</v>
      </c>
    </row>
    <row r="28" spans="1:83" x14ac:dyDescent="0.25">
      <c r="H28">
        <f>SUM(H3:H20)</f>
        <v>3019913.9</v>
      </c>
      <c r="M28">
        <f>SUM(M3:M21)</f>
        <v>95058.968551983897</v>
      </c>
      <c r="N28">
        <f t="shared" ref="N28:O28" si="6">SUM(N3:N21)</f>
        <v>2821447.3258531163</v>
      </c>
      <c r="O28">
        <f t="shared" si="6"/>
        <v>17342.038461743028</v>
      </c>
      <c r="P28">
        <f>SUM(P3:P21)</f>
        <v>86065.567133156728</v>
      </c>
      <c r="AF28" t="s">
        <v>270</v>
      </c>
      <c r="AG28">
        <f>AG27*$M30</f>
        <v>186.28859273975573</v>
      </c>
      <c r="AH28">
        <f t="shared" ref="AH28:AL28" si="7">AH27*$M30</f>
        <v>148.59780157716884</v>
      </c>
      <c r="AI28">
        <f t="shared" si="7"/>
        <v>5069.6763407610952</v>
      </c>
      <c r="AJ28">
        <f t="shared" si="7"/>
        <v>215.3644569645881</v>
      </c>
      <c r="AK28">
        <f t="shared" si="7"/>
        <v>69.727963650785711</v>
      </c>
      <c r="AL28">
        <f t="shared" si="7"/>
        <v>270.64106474671843</v>
      </c>
      <c r="AN28" t="s">
        <v>189</v>
      </c>
      <c r="AO28">
        <f>SUM(AO25:AO27)</f>
        <v>17</v>
      </c>
    </row>
    <row r="29" spans="1:83" x14ac:dyDescent="0.25">
      <c r="M29">
        <f>M28/$H28</f>
        <v>3.1477377070910501E-2</v>
      </c>
      <c r="N29">
        <f t="shared" ref="N29:P29" si="8">N28/$H28</f>
        <v>0.93428071768970511</v>
      </c>
      <c r="O29">
        <f t="shared" si="8"/>
        <v>5.7425605616580749E-3</v>
      </c>
      <c r="P29">
        <f t="shared" si="8"/>
        <v>2.8499344677726319E-2</v>
      </c>
      <c r="AN29" t="s">
        <v>216</v>
      </c>
      <c r="AO29" s="38">
        <f>AO25/AO28</f>
        <v>0.58823529411764708</v>
      </c>
    </row>
    <row r="30" spans="1:83" x14ac:dyDescent="0.25">
      <c r="M30">
        <f>$F23*M29</f>
        <v>5960.296220440111</v>
      </c>
      <c r="N30">
        <f t="shared" ref="N30:P30" si="9">$F23*N29</f>
        <v>176907.68255345454</v>
      </c>
      <c r="O30">
        <f t="shared" si="9"/>
        <v>1087.36385290914</v>
      </c>
      <c r="P30">
        <f t="shared" si="9"/>
        <v>5396.4005954184395</v>
      </c>
      <c r="AN30" t="s">
        <v>218</v>
      </c>
      <c r="AO30" s="38">
        <f>AO26/AO28</f>
        <v>5.8823529411764705E-2</v>
      </c>
    </row>
  </sheetData>
  <mergeCells count="10">
    <mergeCell ref="BB1:BC1"/>
    <mergeCell ref="BD1:BK1"/>
    <mergeCell ref="BP1:BX1"/>
    <mergeCell ref="BZ1:CD1"/>
    <mergeCell ref="F1:H1"/>
    <mergeCell ref="I1:R1"/>
    <mergeCell ref="S1:V1"/>
    <mergeCell ref="W1:Y1"/>
    <mergeCell ref="AA1:AN1"/>
    <mergeCell ref="AP1:BA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75"/>
  <sheetViews>
    <sheetView topLeftCell="AG50" workbookViewId="0">
      <selection activeCell="AW73" sqref="AW73"/>
    </sheetView>
  </sheetViews>
  <sheetFormatPr defaultColWidth="8.85546875" defaultRowHeight="15" x14ac:dyDescent="0.25"/>
  <cols>
    <col min="46" max="46" width="12.140625" bestFit="1" customWidth="1"/>
  </cols>
  <sheetData>
    <row r="1" spans="1:83" x14ac:dyDescent="0.25">
      <c r="F1" s="280" t="s">
        <v>87</v>
      </c>
      <c r="G1" s="280"/>
      <c r="H1" s="280"/>
      <c r="I1" s="281" t="s">
        <v>82</v>
      </c>
      <c r="J1" s="281"/>
      <c r="K1" s="281"/>
      <c r="L1" s="281"/>
      <c r="M1" s="281"/>
      <c r="N1" s="281"/>
      <c r="O1" s="281"/>
      <c r="P1" s="281"/>
      <c r="Q1" s="281"/>
      <c r="R1" s="281"/>
      <c r="S1" s="282" t="s">
        <v>88</v>
      </c>
      <c r="T1" s="282"/>
      <c r="U1" s="282"/>
      <c r="V1" s="282"/>
      <c r="W1" s="283" t="s">
        <v>116</v>
      </c>
      <c r="X1" s="283"/>
      <c r="Y1" s="283"/>
      <c r="Z1" s="84"/>
      <c r="AA1" s="284" t="s">
        <v>131</v>
      </c>
      <c r="AB1" s="284"/>
      <c r="AC1" s="284"/>
      <c r="AD1" s="284"/>
      <c r="AE1" s="284"/>
      <c r="AF1" s="284"/>
      <c r="AG1" s="284"/>
      <c r="AH1" s="284"/>
      <c r="AI1" s="284"/>
      <c r="AJ1" s="284"/>
      <c r="AK1" s="284"/>
      <c r="AL1" s="284"/>
      <c r="AM1" s="284"/>
      <c r="AN1" s="284"/>
      <c r="AO1" s="15" t="s">
        <v>136</v>
      </c>
      <c r="AP1" s="285" t="s">
        <v>147</v>
      </c>
      <c r="AQ1" s="285"/>
      <c r="AR1" s="285"/>
      <c r="AS1" s="285"/>
      <c r="AT1" s="285"/>
      <c r="AU1" s="285"/>
      <c r="AV1" s="285"/>
      <c r="AW1" s="285"/>
      <c r="AX1" s="285"/>
      <c r="AY1" s="285"/>
      <c r="AZ1" s="285"/>
      <c r="BA1" s="285"/>
      <c r="BB1" s="282" t="s">
        <v>149</v>
      </c>
      <c r="BC1" s="282"/>
      <c r="BD1" s="283" t="s">
        <v>157</v>
      </c>
      <c r="BE1" s="283"/>
      <c r="BF1" s="283"/>
      <c r="BG1" s="283"/>
      <c r="BH1" s="283"/>
      <c r="BI1" s="283"/>
      <c r="BJ1" s="283"/>
      <c r="BK1" s="283"/>
      <c r="BL1" s="27" t="s">
        <v>162</v>
      </c>
      <c r="BM1" s="27"/>
      <c r="BN1" s="10" t="s">
        <v>164</v>
      </c>
      <c r="BO1" s="13" t="s">
        <v>166</v>
      </c>
      <c r="BP1" s="278" t="s">
        <v>173</v>
      </c>
      <c r="BQ1" s="278"/>
      <c r="BR1" s="278"/>
      <c r="BS1" s="278"/>
      <c r="BT1" s="278"/>
      <c r="BU1" s="278"/>
      <c r="BV1" s="278"/>
      <c r="BW1" s="278"/>
      <c r="BX1" s="278"/>
      <c r="BY1" s="29" t="s">
        <v>176</v>
      </c>
      <c r="BZ1" s="277" t="s">
        <v>198</v>
      </c>
      <c r="CA1" s="277"/>
      <c r="CB1" s="277"/>
      <c r="CC1" s="277"/>
      <c r="CD1" s="277"/>
    </row>
    <row r="2" spans="1:83" x14ac:dyDescent="0.25">
      <c r="A2" s="14" t="s">
        <v>12</v>
      </c>
      <c r="B2" s="14" t="s">
        <v>62</v>
      </c>
      <c r="C2" s="16" t="s">
        <v>85</v>
      </c>
      <c r="D2" s="16" t="s">
        <v>209</v>
      </c>
      <c r="E2" s="13" t="s">
        <v>84</v>
      </c>
      <c r="F2" t="s">
        <v>83</v>
      </c>
      <c r="G2" t="s">
        <v>86</v>
      </c>
      <c r="I2" t="s">
        <v>67</v>
      </c>
      <c r="J2" t="s">
        <v>68</v>
      </c>
      <c r="K2" t="s">
        <v>69</v>
      </c>
      <c r="L2" t="s">
        <v>70</v>
      </c>
      <c r="M2" t="s">
        <v>71</v>
      </c>
      <c r="N2" t="s">
        <v>72</v>
      </c>
      <c r="O2" t="s">
        <v>73</v>
      </c>
      <c r="P2" t="s">
        <v>74</v>
      </c>
      <c r="Q2" t="s">
        <v>81</v>
      </c>
      <c r="R2" t="s">
        <v>75</v>
      </c>
      <c r="S2" t="s">
        <v>78</v>
      </c>
      <c r="T2" t="s">
        <v>79</v>
      </c>
      <c r="U2" t="s">
        <v>80</v>
      </c>
      <c r="V2" t="s">
        <v>62</v>
      </c>
      <c r="W2" t="s">
        <v>114</v>
      </c>
      <c r="X2" t="s">
        <v>115</v>
      </c>
      <c r="Y2" t="s">
        <v>117</v>
      </c>
      <c r="AA2" t="s">
        <v>119</v>
      </c>
      <c r="AB2" t="s">
        <v>120</v>
      </c>
      <c r="AC2" t="s">
        <v>121</v>
      </c>
      <c r="AD2" t="s">
        <v>122</v>
      </c>
      <c r="AE2" t="s">
        <v>123</v>
      </c>
      <c r="AF2" t="s">
        <v>124</v>
      </c>
      <c r="AG2" t="s">
        <v>125</v>
      </c>
      <c r="AH2" t="s">
        <v>126</v>
      </c>
      <c r="AI2" t="s">
        <v>127</v>
      </c>
      <c r="AJ2" t="s">
        <v>128</v>
      </c>
      <c r="AK2" t="s">
        <v>129</v>
      </c>
      <c r="AL2" t="s">
        <v>130</v>
      </c>
      <c r="AM2" t="s">
        <v>132</v>
      </c>
      <c r="AN2" t="s">
        <v>133</v>
      </c>
      <c r="AO2" s="18" t="s">
        <v>135</v>
      </c>
      <c r="AP2" s="20" t="s">
        <v>119</v>
      </c>
      <c r="AQ2" s="20" t="s">
        <v>120</v>
      </c>
      <c r="AR2" s="20" t="s">
        <v>139</v>
      </c>
      <c r="AS2" s="20" t="s">
        <v>140</v>
      </c>
      <c r="AT2" s="20" t="s">
        <v>124</v>
      </c>
      <c r="AU2" s="20" t="s">
        <v>141</v>
      </c>
      <c r="AV2" s="20" t="s">
        <v>142</v>
      </c>
      <c r="AW2" s="20" t="s">
        <v>143</v>
      </c>
      <c r="AX2" s="20" t="s">
        <v>144</v>
      </c>
      <c r="AY2" s="20" t="s">
        <v>145</v>
      </c>
      <c r="AZ2" s="21" t="s">
        <v>146</v>
      </c>
      <c r="BA2" s="18" t="s">
        <v>138</v>
      </c>
      <c r="BB2" t="s">
        <v>148</v>
      </c>
      <c r="BC2" t="s">
        <v>146</v>
      </c>
      <c r="BD2" s="22" t="s">
        <v>150</v>
      </c>
      <c r="BE2" s="22" t="s">
        <v>151</v>
      </c>
      <c r="BF2" s="22" t="s">
        <v>152</v>
      </c>
      <c r="BG2" s="22" t="s">
        <v>153</v>
      </c>
      <c r="BH2" s="22" t="s">
        <v>154</v>
      </c>
      <c r="BI2" s="22" t="s">
        <v>155</v>
      </c>
      <c r="BJ2" s="22" t="s">
        <v>156</v>
      </c>
      <c r="BK2" s="22" t="s">
        <v>146</v>
      </c>
      <c r="BL2" t="s">
        <v>161</v>
      </c>
      <c r="BN2" s="28" t="s">
        <v>164</v>
      </c>
      <c r="BO2" s="28" t="s">
        <v>165</v>
      </c>
      <c r="BP2" t="s">
        <v>167</v>
      </c>
      <c r="BQ2" t="s">
        <v>168</v>
      </c>
      <c r="BR2" t="s">
        <v>169</v>
      </c>
      <c r="BS2" t="s">
        <v>170</v>
      </c>
      <c r="BT2" t="s">
        <v>171</v>
      </c>
      <c r="BU2" t="s">
        <v>172</v>
      </c>
      <c r="BW2" t="s">
        <v>195</v>
      </c>
      <c r="BX2" t="s">
        <v>163</v>
      </c>
      <c r="BY2" t="s">
        <v>175</v>
      </c>
      <c r="BZ2" t="s">
        <v>177</v>
      </c>
      <c r="CA2" t="s">
        <v>163</v>
      </c>
      <c r="CB2" t="s">
        <v>179</v>
      </c>
      <c r="CC2" t="s">
        <v>146</v>
      </c>
      <c r="CD2" t="s">
        <v>178</v>
      </c>
      <c r="CE2" t="s">
        <v>146</v>
      </c>
    </row>
    <row r="3" spans="1:83" x14ac:dyDescent="0.25">
      <c r="A3">
        <v>698</v>
      </c>
      <c r="B3" t="s">
        <v>58</v>
      </c>
      <c r="C3" t="s">
        <v>15</v>
      </c>
      <c r="D3" t="s">
        <v>212</v>
      </c>
      <c r="E3">
        <v>14000</v>
      </c>
      <c r="F3">
        <v>22111</v>
      </c>
      <c r="G3" t="s">
        <v>65</v>
      </c>
      <c r="H3">
        <f>SUM(M3:P3)</f>
        <v>22111</v>
      </c>
      <c r="I3">
        <v>5.1349234218416573</v>
      </c>
      <c r="J3">
        <v>33.697090840333864</v>
      </c>
      <c r="K3">
        <v>7.3633883471543173</v>
      </c>
      <c r="L3">
        <v>53.80459739067016</v>
      </c>
      <c r="M3">
        <v>1135.3829178034089</v>
      </c>
      <c r="N3">
        <v>7450.7637557062208</v>
      </c>
      <c r="O3">
        <v>1628.118797439291</v>
      </c>
      <c r="P3">
        <v>11896.73452905108</v>
      </c>
      <c r="Q3" t="s">
        <v>76</v>
      </c>
      <c r="R3" t="s">
        <v>64</v>
      </c>
      <c r="S3">
        <v>74</v>
      </c>
      <c r="T3">
        <v>17.25</v>
      </c>
      <c r="U3">
        <v>17.25</v>
      </c>
      <c r="V3" t="s">
        <v>76</v>
      </c>
      <c r="W3" t="s">
        <v>64</v>
      </c>
      <c r="X3" t="s">
        <v>77</v>
      </c>
      <c r="AA3" s="11"/>
      <c r="AB3" s="11"/>
      <c r="AC3" s="11"/>
      <c r="AD3" s="11"/>
      <c r="AE3" s="11"/>
      <c r="AF3" s="11"/>
      <c r="AG3" s="11"/>
      <c r="AH3" s="11"/>
      <c r="AI3" s="11"/>
      <c r="AJ3" s="11"/>
      <c r="AK3" s="11"/>
      <c r="AL3" s="11"/>
      <c r="AM3" s="11" t="s">
        <v>77</v>
      </c>
      <c r="AO3" t="s">
        <v>64</v>
      </c>
      <c r="AP3">
        <v>15</v>
      </c>
      <c r="AQ3">
        <v>10</v>
      </c>
      <c r="AR3">
        <v>30</v>
      </c>
      <c r="AS3">
        <v>45</v>
      </c>
      <c r="AT3">
        <v>0</v>
      </c>
      <c r="AU3">
        <v>244.21781961589363</v>
      </c>
      <c r="AV3">
        <v>162.8118797439291</v>
      </c>
      <c r="AW3">
        <v>488.43563923178726</v>
      </c>
      <c r="AX3">
        <v>732.65345884768101</v>
      </c>
      <c r="AY3">
        <v>0</v>
      </c>
      <c r="AZ3" t="s">
        <v>76</v>
      </c>
      <c r="BB3">
        <v>3700</v>
      </c>
      <c r="BC3" t="s">
        <v>76</v>
      </c>
      <c r="BD3" s="22">
        <v>0</v>
      </c>
      <c r="BE3" s="22">
        <v>0</v>
      </c>
      <c r="BF3" s="22">
        <v>0</v>
      </c>
      <c r="BG3" s="22">
        <v>0</v>
      </c>
      <c r="BH3" s="22">
        <v>0</v>
      </c>
      <c r="BI3" s="22">
        <v>0</v>
      </c>
      <c r="BJ3" s="22"/>
      <c r="BK3" s="22" t="s">
        <v>77</v>
      </c>
      <c r="BL3" t="s">
        <v>158</v>
      </c>
      <c r="BN3" s="22" t="s">
        <v>89</v>
      </c>
      <c r="BO3" s="22"/>
      <c r="BX3" t="s">
        <v>77</v>
      </c>
      <c r="BY3" t="s">
        <v>89</v>
      </c>
      <c r="BZ3">
        <v>450</v>
      </c>
      <c r="CA3" t="s">
        <v>76</v>
      </c>
      <c r="CB3">
        <v>450</v>
      </c>
      <c r="CC3" t="s">
        <v>76</v>
      </c>
      <c r="CD3">
        <v>2</v>
      </c>
      <c r="CE3" t="s">
        <v>76</v>
      </c>
    </row>
    <row r="4" spans="1:83" x14ac:dyDescent="0.25">
      <c r="A4">
        <v>829</v>
      </c>
      <c r="B4" t="s">
        <v>59</v>
      </c>
      <c r="C4" t="s">
        <v>17</v>
      </c>
      <c r="D4" t="s">
        <v>212</v>
      </c>
      <c r="E4">
        <v>180000</v>
      </c>
      <c r="F4">
        <v>71690</v>
      </c>
      <c r="G4" t="s">
        <v>65</v>
      </c>
      <c r="H4">
        <f t="shared" ref="H4:H61" si="0">SUM(M4:P4)</f>
        <v>71690</v>
      </c>
      <c r="I4">
        <v>4.6728971962616823</v>
      </c>
      <c r="J4">
        <v>88.785046728971963</v>
      </c>
      <c r="K4">
        <v>0</v>
      </c>
      <c r="L4">
        <v>6.5420560747663545</v>
      </c>
      <c r="M4">
        <v>3350</v>
      </c>
      <c r="N4">
        <v>63650</v>
      </c>
      <c r="O4">
        <v>0</v>
      </c>
      <c r="P4">
        <v>4689.9999999999991</v>
      </c>
      <c r="Q4" t="s">
        <v>76</v>
      </c>
      <c r="R4" t="s">
        <v>64</v>
      </c>
      <c r="S4">
        <v>69</v>
      </c>
      <c r="V4" t="s">
        <v>76</v>
      </c>
      <c r="W4" t="s">
        <v>64</v>
      </c>
      <c r="X4" t="s">
        <v>64</v>
      </c>
      <c r="Y4" t="s">
        <v>91</v>
      </c>
      <c r="Z4">
        <v>3350</v>
      </c>
      <c r="AA4">
        <v>0</v>
      </c>
      <c r="AB4">
        <v>30</v>
      </c>
      <c r="AC4">
        <v>25</v>
      </c>
      <c r="AD4">
        <v>10</v>
      </c>
      <c r="AE4">
        <v>10</v>
      </c>
      <c r="AF4">
        <v>25</v>
      </c>
      <c r="AG4">
        <v>0</v>
      </c>
      <c r="AH4">
        <v>1005</v>
      </c>
      <c r="AI4">
        <v>837.5</v>
      </c>
      <c r="AJ4">
        <v>335</v>
      </c>
      <c r="AK4">
        <v>335</v>
      </c>
      <c r="AL4">
        <v>837.5</v>
      </c>
      <c r="AM4" t="s">
        <v>76</v>
      </c>
      <c r="AO4" t="s">
        <v>63</v>
      </c>
      <c r="AP4" s="11"/>
      <c r="AQ4" s="11"/>
      <c r="AR4" s="11"/>
      <c r="AS4" s="11"/>
      <c r="AT4" s="11"/>
      <c r="AU4" s="11"/>
      <c r="AV4" s="11"/>
      <c r="AW4" s="11"/>
      <c r="AX4" s="11"/>
      <c r="AY4" s="11"/>
      <c r="AZ4" s="11" t="s">
        <v>77</v>
      </c>
      <c r="BC4" t="s">
        <v>77</v>
      </c>
      <c r="BD4" s="22"/>
      <c r="BE4" s="22"/>
      <c r="BF4" s="22"/>
      <c r="BG4" s="22"/>
      <c r="BH4" s="22"/>
      <c r="BI4" s="22"/>
      <c r="BJ4" s="22"/>
      <c r="BK4" s="22" t="s">
        <v>77</v>
      </c>
      <c r="BL4" t="s">
        <v>77</v>
      </c>
      <c r="BN4" s="22" t="s">
        <v>77</v>
      </c>
      <c r="BO4" s="22"/>
      <c r="BX4" t="s">
        <v>77</v>
      </c>
      <c r="BY4" t="s">
        <v>77</v>
      </c>
      <c r="CA4" t="s">
        <v>201</v>
      </c>
      <c r="CC4" t="s">
        <v>77</v>
      </c>
      <c r="CE4" t="s">
        <v>77</v>
      </c>
    </row>
    <row r="5" spans="1:83" x14ac:dyDescent="0.25">
      <c r="A5">
        <v>877</v>
      </c>
      <c r="B5" t="s">
        <v>58</v>
      </c>
      <c r="C5" t="s">
        <v>15</v>
      </c>
      <c r="D5" t="s">
        <v>212</v>
      </c>
      <c r="E5">
        <v>100000</v>
      </c>
      <c r="F5">
        <v>200000</v>
      </c>
      <c r="G5" t="s">
        <v>65</v>
      </c>
      <c r="H5">
        <f t="shared" si="0"/>
        <v>0</v>
      </c>
      <c r="I5" s="11"/>
      <c r="J5" s="11"/>
      <c r="K5" s="11"/>
      <c r="L5" s="11"/>
      <c r="M5" s="11"/>
      <c r="N5" s="11"/>
      <c r="O5" s="11"/>
      <c r="P5" s="11"/>
      <c r="Q5" s="11" t="s">
        <v>77</v>
      </c>
      <c r="R5" s="11"/>
      <c r="V5" t="s">
        <v>77</v>
      </c>
      <c r="W5" t="s">
        <v>77</v>
      </c>
      <c r="X5" t="s">
        <v>77</v>
      </c>
      <c r="Z5" s="11"/>
      <c r="AA5" s="11"/>
      <c r="AB5" s="11"/>
      <c r="AC5" s="11"/>
      <c r="AD5" s="11"/>
      <c r="AE5" s="11"/>
      <c r="AF5" s="11"/>
      <c r="AG5" s="11"/>
      <c r="AH5" s="11"/>
      <c r="AI5" s="11"/>
      <c r="AJ5" s="11"/>
      <c r="AK5" s="11"/>
      <c r="AL5" s="11"/>
      <c r="AM5" s="11" t="s">
        <v>77</v>
      </c>
      <c r="AO5" t="s">
        <v>77</v>
      </c>
      <c r="AP5" s="11"/>
      <c r="AQ5" s="11"/>
      <c r="AR5" s="11"/>
      <c r="AS5" s="11"/>
      <c r="AT5" s="11"/>
      <c r="AU5" s="11"/>
      <c r="AV5" s="11"/>
      <c r="AW5" s="11"/>
      <c r="AX5" s="11"/>
      <c r="AY5" s="11"/>
      <c r="AZ5" s="11" t="s">
        <v>77</v>
      </c>
      <c r="BC5" t="s">
        <v>77</v>
      </c>
      <c r="BD5" s="22"/>
      <c r="BE5" s="22"/>
      <c r="BF5" s="22"/>
      <c r="BG5" s="22"/>
      <c r="BH5" s="22"/>
      <c r="BI5" s="22"/>
      <c r="BJ5" s="22"/>
      <c r="BK5" s="22" t="s">
        <v>77</v>
      </c>
      <c r="BL5" t="s">
        <v>77</v>
      </c>
      <c r="BN5" s="22" t="s">
        <v>77</v>
      </c>
      <c r="BO5" s="22"/>
      <c r="BX5" t="s">
        <v>77</v>
      </c>
      <c r="BY5" t="s">
        <v>77</v>
      </c>
      <c r="CA5" t="s">
        <v>201</v>
      </c>
      <c r="CC5" t="s">
        <v>77</v>
      </c>
      <c r="CE5" t="s">
        <v>77</v>
      </c>
    </row>
    <row r="6" spans="1:83" x14ac:dyDescent="0.25">
      <c r="A6">
        <v>899</v>
      </c>
      <c r="B6" t="s">
        <v>58</v>
      </c>
      <c r="C6" t="s">
        <v>15</v>
      </c>
      <c r="D6" t="s">
        <v>212</v>
      </c>
      <c r="E6">
        <v>88341</v>
      </c>
      <c r="F6">
        <v>99052</v>
      </c>
      <c r="G6" t="s">
        <v>65</v>
      </c>
      <c r="H6">
        <f t="shared" si="0"/>
        <v>99052</v>
      </c>
      <c r="I6">
        <v>1</v>
      </c>
      <c r="J6">
        <v>99</v>
      </c>
      <c r="K6">
        <v>0</v>
      </c>
      <c r="L6">
        <v>0</v>
      </c>
      <c r="M6">
        <v>990.52</v>
      </c>
      <c r="N6">
        <v>98061.48</v>
      </c>
      <c r="O6">
        <v>0</v>
      </c>
      <c r="P6">
        <v>0</v>
      </c>
      <c r="Q6" t="s">
        <v>76</v>
      </c>
      <c r="S6">
        <v>47.32</v>
      </c>
      <c r="V6" t="s">
        <v>76</v>
      </c>
      <c r="W6" t="s">
        <v>89</v>
      </c>
      <c r="X6" t="s">
        <v>89</v>
      </c>
      <c r="Z6">
        <v>990.52</v>
      </c>
      <c r="AA6" s="18">
        <v>10</v>
      </c>
      <c r="AB6" s="18">
        <v>10</v>
      </c>
      <c r="AC6" s="18">
        <v>5</v>
      </c>
      <c r="AD6" s="18">
        <v>15</v>
      </c>
      <c r="AE6" s="18">
        <v>0</v>
      </c>
      <c r="AF6" s="18">
        <v>60</v>
      </c>
      <c r="AG6" s="18">
        <v>99.052000000000007</v>
      </c>
      <c r="AH6" s="18">
        <v>99.052000000000007</v>
      </c>
      <c r="AI6" s="18">
        <v>49.526000000000003</v>
      </c>
      <c r="AJ6" s="18">
        <v>148.578</v>
      </c>
      <c r="AK6" s="18">
        <v>0</v>
      </c>
      <c r="AL6" s="18">
        <v>594.31200000000001</v>
      </c>
      <c r="AM6" s="18" t="s">
        <v>76</v>
      </c>
      <c r="AO6" t="s">
        <v>63</v>
      </c>
      <c r="AP6" s="11"/>
      <c r="AQ6" s="11"/>
      <c r="AR6" s="11"/>
      <c r="AS6" s="11"/>
      <c r="AT6" s="11"/>
      <c r="AU6" s="11"/>
      <c r="AV6" s="11"/>
      <c r="AW6" s="11"/>
      <c r="AX6" s="11"/>
      <c r="AY6" s="11"/>
      <c r="AZ6" s="11" t="s">
        <v>77</v>
      </c>
      <c r="BC6" t="s">
        <v>77</v>
      </c>
      <c r="BD6" s="22"/>
      <c r="BE6" s="22"/>
      <c r="BF6" s="22"/>
      <c r="BG6" s="22"/>
      <c r="BH6" s="22"/>
      <c r="BI6" s="22"/>
      <c r="BJ6" s="22"/>
      <c r="BK6" s="22" t="s">
        <v>77</v>
      </c>
      <c r="BL6" t="s">
        <v>77</v>
      </c>
      <c r="BN6" s="22" t="s">
        <v>77</v>
      </c>
      <c r="BO6" s="22"/>
      <c r="BX6" t="s">
        <v>77</v>
      </c>
      <c r="BY6" t="s">
        <v>90</v>
      </c>
      <c r="CA6" t="s">
        <v>76</v>
      </c>
      <c r="CC6" t="s">
        <v>77</v>
      </c>
      <c r="CE6" t="s">
        <v>77</v>
      </c>
    </row>
    <row r="7" spans="1:83" x14ac:dyDescent="0.25">
      <c r="A7">
        <v>906</v>
      </c>
      <c r="B7" t="s">
        <v>60</v>
      </c>
      <c r="C7" t="s">
        <v>15</v>
      </c>
      <c r="D7" t="s">
        <v>212</v>
      </c>
      <c r="E7">
        <v>1400000</v>
      </c>
      <c r="F7">
        <v>986517</v>
      </c>
      <c r="G7" t="s">
        <v>65</v>
      </c>
      <c r="H7">
        <f t="shared" si="0"/>
        <v>986517</v>
      </c>
      <c r="I7">
        <v>6.3240674007645072</v>
      </c>
      <c r="J7">
        <v>83.077534396264838</v>
      </c>
      <c r="K7">
        <v>9.6568026704050727</v>
      </c>
      <c r="L7">
        <v>0.94159553256558171</v>
      </c>
      <c r="M7">
        <v>62387.999999999993</v>
      </c>
      <c r="N7">
        <v>819574</v>
      </c>
      <c r="O7">
        <v>95266.000000000015</v>
      </c>
      <c r="P7">
        <v>9289</v>
      </c>
      <c r="Q7" t="s">
        <v>76</v>
      </c>
      <c r="S7">
        <v>34</v>
      </c>
      <c r="T7">
        <v>28</v>
      </c>
      <c r="U7">
        <v>15</v>
      </c>
      <c r="V7" t="s">
        <v>76</v>
      </c>
      <c r="W7" t="s">
        <v>64</v>
      </c>
      <c r="X7" t="s">
        <v>90</v>
      </c>
      <c r="Y7" t="s">
        <v>92</v>
      </c>
      <c r="AA7" s="11"/>
      <c r="AB7" s="11"/>
      <c r="AC7" s="11"/>
      <c r="AD7" s="11"/>
      <c r="AE7" s="11"/>
      <c r="AF7" s="11"/>
      <c r="AG7" s="11"/>
      <c r="AH7" s="11"/>
      <c r="AI7" s="11"/>
      <c r="AJ7" s="11"/>
      <c r="AK7" s="11"/>
      <c r="AL7" s="11"/>
      <c r="AM7" s="11" t="s">
        <v>77</v>
      </c>
      <c r="AO7" t="s">
        <v>64</v>
      </c>
      <c r="AZ7" t="s">
        <v>137</v>
      </c>
      <c r="BB7">
        <v>4.4000000000000004</v>
      </c>
      <c r="BC7" t="s">
        <v>76</v>
      </c>
      <c r="BD7" s="22">
        <v>34</v>
      </c>
      <c r="BE7" s="22"/>
      <c r="BF7" s="22">
        <v>24</v>
      </c>
      <c r="BG7" s="22"/>
      <c r="BH7" s="22"/>
      <c r="BI7" s="22"/>
      <c r="BJ7" s="22"/>
      <c r="BK7" s="22" t="s">
        <v>118</v>
      </c>
      <c r="BL7" t="s">
        <v>63</v>
      </c>
      <c r="BN7" s="22" t="s">
        <v>77</v>
      </c>
      <c r="BO7" s="22"/>
      <c r="BX7" t="s">
        <v>77</v>
      </c>
      <c r="BY7" t="s">
        <v>77</v>
      </c>
      <c r="CA7" t="s">
        <v>201</v>
      </c>
      <c r="CC7" t="s">
        <v>77</v>
      </c>
      <c r="CE7" t="s">
        <v>77</v>
      </c>
    </row>
    <row r="8" spans="1:83" x14ac:dyDescent="0.25">
      <c r="A8">
        <v>922</v>
      </c>
      <c r="B8" t="s">
        <v>59</v>
      </c>
      <c r="C8" t="s">
        <v>19</v>
      </c>
      <c r="D8" t="s">
        <v>212</v>
      </c>
      <c r="E8">
        <v>1500</v>
      </c>
      <c r="F8">
        <v>48</v>
      </c>
      <c r="G8" t="s">
        <v>65</v>
      </c>
      <c r="H8">
        <f t="shared" si="0"/>
        <v>48.000000000000007</v>
      </c>
      <c r="I8">
        <v>85</v>
      </c>
      <c r="J8">
        <v>15</v>
      </c>
      <c r="K8">
        <v>0</v>
      </c>
      <c r="L8">
        <v>0</v>
      </c>
      <c r="M8">
        <v>40.800000000000004</v>
      </c>
      <c r="N8">
        <v>7.2</v>
      </c>
      <c r="O8">
        <v>0</v>
      </c>
      <c r="P8">
        <v>0</v>
      </c>
      <c r="Q8" t="s">
        <v>76</v>
      </c>
      <c r="V8" t="s">
        <v>77</v>
      </c>
      <c r="W8" t="s">
        <v>89</v>
      </c>
      <c r="X8" t="s">
        <v>89</v>
      </c>
      <c r="AA8" s="11"/>
      <c r="AB8" s="11"/>
      <c r="AC8" s="11"/>
      <c r="AD8" s="11"/>
      <c r="AE8" s="11"/>
      <c r="AF8" s="11"/>
      <c r="AG8" s="11"/>
      <c r="AH8" s="11"/>
      <c r="AI8" s="11"/>
      <c r="AJ8" s="11"/>
      <c r="AK8" s="11"/>
      <c r="AL8" s="11"/>
      <c r="AM8" s="11" t="s">
        <v>77</v>
      </c>
      <c r="AO8" t="s">
        <v>134</v>
      </c>
      <c r="AP8" s="11"/>
      <c r="AQ8" s="11"/>
      <c r="AR8" s="11"/>
      <c r="AS8" s="11"/>
      <c r="AT8" s="11"/>
      <c r="AU8" s="11"/>
      <c r="AV8" s="11"/>
      <c r="AW8" s="11"/>
      <c r="AX8" s="11"/>
      <c r="AY8" s="11"/>
      <c r="AZ8" s="11" t="s">
        <v>77</v>
      </c>
      <c r="BC8" t="s">
        <v>77</v>
      </c>
      <c r="BD8" s="22"/>
      <c r="BE8" s="22"/>
      <c r="BF8" s="22"/>
      <c r="BG8" s="22"/>
      <c r="BH8" s="22"/>
      <c r="BI8" s="22"/>
      <c r="BJ8" s="22"/>
      <c r="BK8" s="22" t="s">
        <v>77</v>
      </c>
      <c r="BL8" t="s">
        <v>77</v>
      </c>
      <c r="BN8" s="22" t="s">
        <v>77</v>
      </c>
      <c r="BO8" s="22"/>
      <c r="BX8" t="s">
        <v>77</v>
      </c>
      <c r="BY8" t="s">
        <v>77</v>
      </c>
      <c r="CA8" t="s">
        <v>201</v>
      </c>
      <c r="CC8" t="s">
        <v>77</v>
      </c>
      <c r="CE8" t="s">
        <v>77</v>
      </c>
    </row>
    <row r="9" spans="1:83" x14ac:dyDescent="0.25">
      <c r="A9">
        <v>946</v>
      </c>
      <c r="B9" t="s">
        <v>59</v>
      </c>
      <c r="C9" t="s">
        <v>19</v>
      </c>
      <c r="D9" t="s">
        <v>212</v>
      </c>
      <c r="E9">
        <v>15000</v>
      </c>
      <c r="F9">
        <v>83784</v>
      </c>
      <c r="G9" t="s">
        <v>65</v>
      </c>
      <c r="H9">
        <f t="shared" si="0"/>
        <v>83784</v>
      </c>
      <c r="I9">
        <v>6.3902415735701323</v>
      </c>
      <c r="J9">
        <v>79.880406760240618</v>
      </c>
      <c r="K9">
        <v>7.5861739711639453</v>
      </c>
      <c r="L9">
        <v>6.1431776950253028</v>
      </c>
      <c r="M9">
        <v>5354</v>
      </c>
      <c r="N9">
        <v>66927</v>
      </c>
      <c r="O9">
        <v>6356</v>
      </c>
      <c r="P9">
        <v>5146.9999999999991</v>
      </c>
      <c r="Q9" t="s">
        <v>76</v>
      </c>
      <c r="S9">
        <v>53</v>
      </c>
      <c r="T9">
        <v>45</v>
      </c>
      <c r="U9">
        <v>0</v>
      </c>
      <c r="V9" t="s">
        <v>76</v>
      </c>
      <c r="W9" t="s">
        <v>64</v>
      </c>
      <c r="X9" t="s">
        <v>64</v>
      </c>
      <c r="Z9">
        <v>5354</v>
      </c>
      <c r="AA9">
        <v>0.96260234565169289</v>
      </c>
      <c r="AB9">
        <v>0</v>
      </c>
      <c r="AC9">
        <v>81.456074352732912</v>
      </c>
      <c r="AD9">
        <v>0</v>
      </c>
      <c r="AE9">
        <v>17.581323301615402</v>
      </c>
      <c r="AF9">
        <v>0</v>
      </c>
      <c r="AG9">
        <v>51.537729586191638</v>
      </c>
      <c r="AH9">
        <v>0</v>
      </c>
      <c r="AI9">
        <v>4361.1582208453201</v>
      </c>
      <c r="AJ9">
        <v>0</v>
      </c>
      <c r="AK9">
        <v>941.30404956848872</v>
      </c>
      <c r="AL9">
        <v>0</v>
      </c>
      <c r="AM9" s="18" t="s">
        <v>76</v>
      </c>
      <c r="AN9" t="s">
        <v>64</v>
      </c>
      <c r="AO9" t="s">
        <v>64</v>
      </c>
      <c r="AP9">
        <v>0</v>
      </c>
      <c r="AQ9">
        <v>0</v>
      </c>
      <c r="AR9">
        <v>0</v>
      </c>
      <c r="AS9">
        <v>100</v>
      </c>
      <c r="AT9">
        <v>0</v>
      </c>
      <c r="AU9">
        <v>0</v>
      </c>
      <c r="AV9">
        <v>0</v>
      </c>
      <c r="AW9">
        <v>0</v>
      </c>
      <c r="AX9">
        <v>6356</v>
      </c>
      <c r="AY9">
        <v>0</v>
      </c>
      <c r="AZ9" t="s">
        <v>76</v>
      </c>
      <c r="BB9">
        <v>0</v>
      </c>
      <c r="BC9" t="s">
        <v>118</v>
      </c>
      <c r="BD9" s="22">
        <v>10</v>
      </c>
      <c r="BE9" s="22"/>
      <c r="BF9" s="22">
        <v>10</v>
      </c>
      <c r="BG9" s="22"/>
      <c r="BH9" s="22"/>
      <c r="BI9" s="22"/>
      <c r="BJ9" s="22"/>
      <c r="BK9" s="22" t="s">
        <v>76</v>
      </c>
      <c r="BL9" t="s">
        <v>158</v>
      </c>
      <c r="BN9" s="22" t="s">
        <v>64</v>
      </c>
      <c r="BO9" s="22">
        <v>0</v>
      </c>
      <c r="BW9" t="s">
        <v>64</v>
      </c>
      <c r="BX9" t="s">
        <v>65</v>
      </c>
      <c r="BY9" t="s">
        <v>90</v>
      </c>
      <c r="CA9" t="s">
        <v>76</v>
      </c>
      <c r="CC9" t="s">
        <v>77</v>
      </c>
      <c r="CE9" t="s">
        <v>77</v>
      </c>
    </row>
    <row r="10" spans="1:83" x14ac:dyDescent="0.25">
      <c r="A10">
        <v>947</v>
      </c>
      <c r="B10" t="s">
        <v>58</v>
      </c>
      <c r="C10" t="s">
        <v>19</v>
      </c>
      <c r="D10" t="s">
        <v>212</v>
      </c>
      <c r="E10">
        <v>45000</v>
      </c>
      <c r="F10">
        <v>62967</v>
      </c>
      <c r="G10" t="s">
        <v>65</v>
      </c>
      <c r="H10">
        <f t="shared" si="0"/>
        <v>62967</v>
      </c>
      <c r="I10">
        <v>0</v>
      </c>
      <c r="J10">
        <v>100</v>
      </c>
      <c r="K10">
        <v>0</v>
      </c>
      <c r="L10">
        <v>0</v>
      </c>
      <c r="M10">
        <v>0</v>
      </c>
      <c r="N10">
        <v>62967</v>
      </c>
      <c r="O10">
        <v>0</v>
      </c>
      <c r="P10">
        <v>0</v>
      </c>
      <c r="Q10" t="s">
        <v>76</v>
      </c>
      <c r="S10">
        <v>100</v>
      </c>
      <c r="V10" t="s">
        <v>76</v>
      </c>
      <c r="W10" t="s">
        <v>89</v>
      </c>
      <c r="X10" t="s">
        <v>90</v>
      </c>
      <c r="AA10" s="11"/>
      <c r="AB10" s="11"/>
      <c r="AC10" s="11"/>
      <c r="AD10" s="11"/>
      <c r="AE10" s="11"/>
      <c r="AF10" s="11"/>
      <c r="AG10" s="11"/>
      <c r="AH10" s="11"/>
      <c r="AI10" s="11"/>
      <c r="AJ10" s="11"/>
      <c r="AK10" s="11"/>
      <c r="AL10" s="11"/>
      <c r="AM10" s="11" t="s">
        <v>77</v>
      </c>
      <c r="AO10" t="s">
        <v>63</v>
      </c>
      <c r="AP10" s="11"/>
      <c r="AQ10" s="11"/>
      <c r="AR10" s="11"/>
      <c r="AS10" s="11"/>
      <c r="AT10" s="11"/>
      <c r="AU10" s="11"/>
      <c r="AV10" s="11"/>
      <c r="AW10" s="11"/>
      <c r="AX10" s="11"/>
      <c r="AY10" s="11"/>
      <c r="AZ10" s="11" t="s">
        <v>77</v>
      </c>
      <c r="BC10" t="s">
        <v>77</v>
      </c>
      <c r="BD10" s="22"/>
      <c r="BE10" s="22"/>
      <c r="BF10" s="22"/>
      <c r="BG10" s="22"/>
      <c r="BH10" s="22"/>
      <c r="BI10" s="22"/>
      <c r="BJ10" s="22"/>
      <c r="BK10" s="22" t="s">
        <v>77</v>
      </c>
      <c r="BL10" t="s">
        <v>77</v>
      </c>
      <c r="BN10" s="22" t="s">
        <v>77</v>
      </c>
      <c r="BO10" s="22"/>
      <c r="BX10" t="s">
        <v>77</v>
      </c>
      <c r="BY10" t="s">
        <v>90</v>
      </c>
      <c r="CA10" t="s">
        <v>76</v>
      </c>
      <c r="CC10" t="s">
        <v>77</v>
      </c>
      <c r="CE10" t="s">
        <v>77</v>
      </c>
    </row>
    <row r="11" spans="1:83" x14ac:dyDescent="0.25">
      <c r="A11">
        <v>952</v>
      </c>
      <c r="B11" t="s">
        <v>59</v>
      </c>
      <c r="C11" t="s">
        <v>19</v>
      </c>
      <c r="D11" t="s">
        <v>212</v>
      </c>
      <c r="E11">
        <v>1500</v>
      </c>
      <c r="F11">
        <v>48</v>
      </c>
      <c r="G11" t="s">
        <v>65</v>
      </c>
      <c r="H11">
        <f t="shared" si="0"/>
        <v>48.000000000000007</v>
      </c>
      <c r="I11">
        <v>85</v>
      </c>
      <c r="J11">
        <v>15</v>
      </c>
      <c r="K11">
        <v>0</v>
      </c>
      <c r="L11">
        <v>0</v>
      </c>
      <c r="M11">
        <v>40.800000000000004</v>
      </c>
      <c r="N11">
        <v>7.2</v>
      </c>
      <c r="O11">
        <v>0</v>
      </c>
      <c r="P11">
        <v>0</v>
      </c>
      <c r="Q11" t="s">
        <v>76</v>
      </c>
      <c r="V11" t="s">
        <v>77</v>
      </c>
      <c r="W11" t="s">
        <v>64</v>
      </c>
      <c r="X11" t="s">
        <v>64</v>
      </c>
      <c r="AA11" s="11"/>
      <c r="AB11" s="11"/>
      <c r="AC11" s="11"/>
      <c r="AD11" s="11"/>
      <c r="AE11" s="11"/>
      <c r="AF11" s="11"/>
      <c r="AG11" s="11"/>
      <c r="AH11" s="11"/>
      <c r="AI11" s="11"/>
      <c r="AJ11" s="11"/>
      <c r="AK11" s="11"/>
      <c r="AL11" s="11"/>
      <c r="AM11" s="11" t="s">
        <v>77</v>
      </c>
      <c r="AO11" t="s">
        <v>134</v>
      </c>
      <c r="AP11" s="11"/>
      <c r="AQ11" s="11"/>
      <c r="AR11" s="11"/>
      <c r="AS11" s="11"/>
      <c r="AT11" s="11"/>
      <c r="AU11" s="11"/>
      <c r="AV11" s="11"/>
      <c r="AW11" s="11"/>
      <c r="AX11" s="11"/>
      <c r="AY11" s="11"/>
      <c r="AZ11" s="11" t="s">
        <v>77</v>
      </c>
      <c r="BC11" t="s">
        <v>77</v>
      </c>
      <c r="BD11" s="22"/>
      <c r="BE11" s="22"/>
      <c r="BF11" s="22"/>
      <c r="BG11" s="22"/>
      <c r="BH11" s="22"/>
      <c r="BI11" s="22"/>
      <c r="BJ11" s="22"/>
      <c r="BK11" s="22" t="s">
        <v>77</v>
      </c>
      <c r="BL11" t="s">
        <v>77</v>
      </c>
      <c r="BN11" s="22" t="s">
        <v>77</v>
      </c>
      <c r="BO11" s="22"/>
      <c r="BX11" t="s">
        <v>77</v>
      </c>
      <c r="BY11" t="s">
        <v>63</v>
      </c>
      <c r="CA11" t="s">
        <v>76</v>
      </c>
      <c r="CC11" t="s">
        <v>77</v>
      </c>
      <c r="CE11" t="s">
        <v>77</v>
      </c>
    </row>
    <row r="12" spans="1:83" x14ac:dyDescent="0.25">
      <c r="A12">
        <v>961</v>
      </c>
      <c r="B12" t="s">
        <v>59</v>
      </c>
      <c r="C12" t="s">
        <v>19</v>
      </c>
      <c r="D12" t="s">
        <v>212</v>
      </c>
      <c r="E12">
        <v>6000</v>
      </c>
      <c r="F12">
        <v>10000</v>
      </c>
      <c r="G12" t="s">
        <v>65</v>
      </c>
      <c r="H12">
        <f t="shared" si="0"/>
        <v>10000</v>
      </c>
      <c r="I12">
        <v>10</v>
      </c>
      <c r="J12">
        <v>90</v>
      </c>
      <c r="K12">
        <v>0</v>
      </c>
      <c r="L12">
        <v>0</v>
      </c>
      <c r="M12">
        <v>1000</v>
      </c>
      <c r="N12">
        <v>9000</v>
      </c>
      <c r="O12">
        <v>0</v>
      </c>
      <c r="P12">
        <v>0</v>
      </c>
      <c r="Q12" t="s">
        <v>76</v>
      </c>
      <c r="S12">
        <v>58</v>
      </c>
      <c r="V12" t="s">
        <v>76</v>
      </c>
      <c r="W12" t="s">
        <v>89</v>
      </c>
      <c r="X12" t="s">
        <v>89</v>
      </c>
      <c r="AA12" s="11"/>
      <c r="AB12" s="11"/>
      <c r="AC12" s="11"/>
      <c r="AD12" s="11"/>
      <c r="AE12" s="11"/>
      <c r="AF12" s="11"/>
      <c r="AG12" s="11"/>
      <c r="AH12" s="11"/>
      <c r="AI12" s="11"/>
      <c r="AJ12" s="11"/>
      <c r="AK12" s="11"/>
      <c r="AL12" s="11"/>
      <c r="AM12" s="11" t="s">
        <v>77</v>
      </c>
      <c r="AO12" t="s">
        <v>63</v>
      </c>
      <c r="AP12" s="11"/>
      <c r="AQ12" s="11"/>
      <c r="AR12" s="11"/>
      <c r="AS12" s="11"/>
      <c r="AT12" s="11"/>
      <c r="AU12" s="11"/>
      <c r="AV12" s="11"/>
      <c r="AW12" s="11"/>
      <c r="AX12" s="11"/>
      <c r="AY12" s="11"/>
      <c r="AZ12" s="11" t="s">
        <v>77</v>
      </c>
      <c r="BB12">
        <v>0</v>
      </c>
      <c r="BC12" t="s">
        <v>118</v>
      </c>
      <c r="BD12" s="22">
        <v>0</v>
      </c>
      <c r="BE12" s="22"/>
      <c r="BF12" s="22">
        <v>0</v>
      </c>
      <c r="BG12" s="22"/>
      <c r="BH12" s="22">
        <v>0</v>
      </c>
      <c r="BI12" s="22"/>
      <c r="BJ12" s="22"/>
      <c r="BK12" s="22" t="s">
        <v>77</v>
      </c>
      <c r="BL12" t="s">
        <v>63</v>
      </c>
      <c r="BN12" s="22" t="s">
        <v>77</v>
      </c>
      <c r="BO12" s="22"/>
      <c r="BX12" t="s">
        <v>77</v>
      </c>
      <c r="BY12" t="s">
        <v>90</v>
      </c>
      <c r="CA12" t="s">
        <v>76</v>
      </c>
      <c r="CC12" t="s">
        <v>77</v>
      </c>
      <c r="CE12" t="s">
        <v>77</v>
      </c>
    </row>
    <row r="13" spans="1:83" x14ac:dyDescent="0.25">
      <c r="A13">
        <v>974</v>
      </c>
      <c r="B13" t="s">
        <v>58</v>
      </c>
      <c r="C13" t="s">
        <v>19</v>
      </c>
      <c r="D13" t="s">
        <v>212</v>
      </c>
      <c r="E13">
        <v>45000</v>
      </c>
      <c r="F13">
        <v>62967</v>
      </c>
      <c r="G13" t="s">
        <v>65</v>
      </c>
      <c r="H13">
        <f t="shared" si="0"/>
        <v>62967</v>
      </c>
      <c r="I13">
        <v>0</v>
      </c>
      <c r="J13">
        <v>100</v>
      </c>
      <c r="K13">
        <v>0</v>
      </c>
      <c r="L13">
        <v>0</v>
      </c>
      <c r="M13">
        <v>0</v>
      </c>
      <c r="N13">
        <v>62967</v>
      </c>
      <c r="O13">
        <v>0</v>
      </c>
      <c r="P13">
        <v>0</v>
      </c>
      <c r="Q13" t="s">
        <v>76</v>
      </c>
      <c r="S13">
        <v>100</v>
      </c>
      <c r="V13" t="s">
        <v>76</v>
      </c>
      <c r="W13" t="s">
        <v>89</v>
      </c>
      <c r="X13" t="s">
        <v>90</v>
      </c>
      <c r="AA13" s="11"/>
      <c r="AB13" s="11"/>
      <c r="AC13" s="11"/>
      <c r="AD13" s="11"/>
      <c r="AE13" s="11"/>
      <c r="AF13" s="11"/>
      <c r="AG13" s="11"/>
      <c r="AH13" s="11"/>
      <c r="AI13" s="11"/>
      <c r="AJ13" s="11"/>
      <c r="AK13" s="11"/>
      <c r="AL13" s="11"/>
      <c r="AM13" s="11" t="s">
        <v>77</v>
      </c>
      <c r="AO13" t="s">
        <v>64</v>
      </c>
      <c r="AP13" s="11"/>
      <c r="AQ13" s="11"/>
      <c r="AR13" s="11"/>
      <c r="AS13" s="11"/>
      <c r="AT13" s="11"/>
      <c r="AU13" s="11"/>
      <c r="AV13" s="11"/>
      <c r="AW13" s="11"/>
      <c r="AX13" s="11"/>
      <c r="AY13" s="11"/>
      <c r="AZ13" s="11" t="s">
        <v>77</v>
      </c>
      <c r="BB13">
        <v>0</v>
      </c>
      <c r="BC13" t="s">
        <v>118</v>
      </c>
      <c r="BD13" s="22">
        <v>0</v>
      </c>
      <c r="BE13" s="22">
        <v>0</v>
      </c>
      <c r="BF13" s="22">
        <v>0</v>
      </c>
      <c r="BG13" s="22">
        <v>0</v>
      </c>
      <c r="BH13" s="22">
        <v>0</v>
      </c>
      <c r="BI13" s="22">
        <v>0</v>
      </c>
      <c r="BJ13" s="22"/>
      <c r="BK13" s="22" t="s">
        <v>77</v>
      </c>
      <c r="BL13" t="s">
        <v>63</v>
      </c>
      <c r="BN13" s="22" t="s">
        <v>77</v>
      </c>
      <c r="BO13" s="22"/>
      <c r="BX13" t="s">
        <v>77</v>
      </c>
      <c r="BY13" t="s">
        <v>90</v>
      </c>
      <c r="CA13" t="s">
        <v>76</v>
      </c>
      <c r="CC13" t="s">
        <v>77</v>
      </c>
      <c r="CE13" t="s">
        <v>77</v>
      </c>
    </row>
    <row r="14" spans="1:83" x14ac:dyDescent="0.25">
      <c r="A14">
        <v>1294</v>
      </c>
      <c r="B14" t="s">
        <v>59</v>
      </c>
      <c r="C14" t="s">
        <v>32</v>
      </c>
      <c r="D14" t="s">
        <v>212</v>
      </c>
      <c r="E14">
        <v>144503</v>
      </c>
      <c r="F14">
        <v>29536</v>
      </c>
      <c r="G14" t="s">
        <v>65</v>
      </c>
      <c r="H14">
        <f t="shared" si="0"/>
        <v>29536</v>
      </c>
      <c r="I14">
        <v>0</v>
      </c>
      <c r="J14">
        <v>72.697724810400871</v>
      </c>
      <c r="K14">
        <v>27.302275189599136</v>
      </c>
      <c r="L14">
        <v>0</v>
      </c>
      <c r="M14">
        <v>0</v>
      </c>
      <c r="N14">
        <v>21472</v>
      </c>
      <c r="O14">
        <v>8064.0000000000009</v>
      </c>
      <c r="P14">
        <v>0</v>
      </c>
      <c r="Q14" t="s">
        <v>76</v>
      </c>
      <c r="S14">
        <v>50</v>
      </c>
      <c r="T14">
        <v>30</v>
      </c>
      <c r="V14" t="s">
        <v>76</v>
      </c>
      <c r="W14" t="s">
        <v>64</v>
      </c>
      <c r="X14" t="s">
        <v>64</v>
      </c>
      <c r="Z14">
        <v>0</v>
      </c>
      <c r="AA14" s="11"/>
      <c r="AB14" s="11"/>
      <c r="AC14" s="11"/>
      <c r="AD14" s="11"/>
      <c r="AE14" s="11"/>
      <c r="AF14" s="11"/>
      <c r="AG14" s="11"/>
      <c r="AH14" s="11"/>
      <c r="AI14" s="11"/>
      <c r="AJ14" s="11"/>
      <c r="AK14" s="11"/>
      <c r="AL14" s="11"/>
      <c r="AM14" s="11" t="s">
        <v>77</v>
      </c>
      <c r="AO14" t="s">
        <v>64</v>
      </c>
      <c r="AP14">
        <v>0</v>
      </c>
      <c r="AQ14">
        <v>0</v>
      </c>
      <c r="AR14">
        <v>0</v>
      </c>
      <c r="AS14">
        <v>100</v>
      </c>
      <c r="AT14">
        <v>0</v>
      </c>
      <c r="AU14">
        <v>0</v>
      </c>
      <c r="AV14">
        <v>0</v>
      </c>
      <c r="AW14">
        <v>0</v>
      </c>
      <c r="AX14">
        <v>8064.0000000000009</v>
      </c>
      <c r="AY14">
        <v>0</v>
      </c>
      <c r="AZ14" t="s">
        <v>76</v>
      </c>
      <c r="BB14">
        <v>0</v>
      </c>
      <c r="BC14" t="s">
        <v>118</v>
      </c>
      <c r="BD14" s="22">
        <v>3</v>
      </c>
      <c r="BE14" s="22">
        <v>4190</v>
      </c>
      <c r="BF14" s="22">
        <v>0</v>
      </c>
      <c r="BG14" s="22">
        <v>319</v>
      </c>
      <c r="BH14" s="22"/>
      <c r="BI14" s="22"/>
      <c r="BJ14" s="22"/>
      <c r="BK14" s="22" t="s">
        <v>76</v>
      </c>
      <c r="BL14" t="s">
        <v>63</v>
      </c>
      <c r="BN14" s="22" t="s">
        <v>77</v>
      </c>
      <c r="BO14" s="22"/>
      <c r="BX14" t="s">
        <v>77</v>
      </c>
      <c r="BY14" t="s">
        <v>77</v>
      </c>
      <c r="CA14" t="s">
        <v>201</v>
      </c>
      <c r="CC14" t="s">
        <v>77</v>
      </c>
      <c r="CE14" t="s">
        <v>77</v>
      </c>
    </row>
    <row r="15" spans="1:83" x14ac:dyDescent="0.25">
      <c r="A15">
        <v>1299</v>
      </c>
      <c r="B15" t="s">
        <v>58</v>
      </c>
      <c r="C15" t="s">
        <v>32</v>
      </c>
      <c r="D15" t="s">
        <v>212</v>
      </c>
      <c r="E15">
        <v>40000</v>
      </c>
      <c r="F15">
        <v>29350</v>
      </c>
      <c r="G15" t="s">
        <v>65</v>
      </c>
      <c r="H15">
        <f t="shared" si="0"/>
        <v>29350</v>
      </c>
      <c r="I15">
        <v>15</v>
      </c>
      <c r="J15">
        <v>80</v>
      </c>
      <c r="K15">
        <v>5</v>
      </c>
      <c r="L15">
        <v>0</v>
      </c>
      <c r="M15">
        <v>4402.5</v>
      </c>
      <c r="N15">
        <v>23480</v>
      </c>
      <c r="O15">
        <v>1467.5</v>
      </c>
      <c r="P15">
        <v>0</v>
      </c>
      <c r="Q15" t="s">
        <v>76</v>
      </c>
      <c r="R15" t="s">
        <v>64</v>
      </c>
      <c r="S15">
        <v>35</v>
      </c>
      <c r="T15">
        <v>25</v>
      </c>
      <c r="V15" t="s">
        <v>76</v>
      </c>
      <c r="W15" t="s">
        <v>89</v>
      </c>
      <c r="X15" t="s">
        <v>89</v>
      </c>
      <c r="Z15">
        <v>4402.5</v>
      </c>
      <c r="AA15">
        <v>5</v>
      </c>
      <c r="AB15">
        <v>5</v>
      </c>
      <c r="AC15">
        <v>70</v>
      </c>
      <c r="AD15">
        <v>5</v>
      </c>
      <c r="AE15">
        <v>10</v>
      </c>
      <c r="AF15">
        <v>5</v>
      </c>
      <c r="AG15">
        <v>220.125</v>
      </c>
      <c r="AH15">
        <v>220.125</v>
      </c>
      <c r="AI15">
        <v>3081.75</v>
      </c>
      <c r="AJ15">
        <v>220.125</v>
      </c>
      <c r="AK15">
        <v>440.25</v>
      </c>
      <c r="AL15">
        <v>220.125</v>
      </c>
      <c r="AM15" s="18" t="s">
        <v>76</v>
      </c>
      <c r="AO15" t="s">
        <v>64</v>
      </c>
      <c r="AP15">
        <v>5</v>
      </c>
      <c r="AQ15">
        <v>5</v>
      </c>
      <c r="AR15">
        <v>70</v>
      </c>
      <c r="AS15">
        <v>20</v>
      </c>
      <c r="AT15">
        <v>0</v>
      </c>
      <c r="AU15">
        <v>73.375</v>
      </c>
      <c r="AV15">
        <v>73.375</v>
      </c>
      <c r="AW15">
        <v>1027.25</v>
      </c>
      <c r="AX15">
        <v>293.5</v>
      </c>
      <c r="AY15">
        <v>0</v>
      </c>
      <c r="AZ15" t="s">
        <v>76</v>
      </c>
      <c r="BB15">
        <v>125</v>
      </c>
      <c r="BC15" t="s">
        <v>76</v>
      </c>
      <c r="BD15" s="22"/>
      <c r="BE15" s="22"/>
      <c r="BF15" s="22"/>
      <c r="BG15" s="22"/>
      <c r="BH15" s="22"/>
      <c r="BI15" s="22"/>
      <c r="BJ15" s="22" t="s">
        <v>64</v>
      </c>
      <c r="BK15" s="22" t="s">
        <v>76</v>
      </c>
      <c r="BL15" t="s">
        <v>63</v>
      </c>
      <c r="BN15" s="22" t="s">
        <v>77</v>
      </c>
      <c r="BO15" s="22"/>
      <c r="BX15" t="s">
        <v>77</v>
      </c>
      <c r="BY15" t="s">
        <v>90</v>
      </c>
      <c r="CA15" t="s">
        <v>76</v>
      </c>
      <c r="CC15" t="s">
        <v>77</v>
      </c>
      <c r="CE15" t="s">
        <v>77</v>
      </c>
    </row>
    <row r="16" spans="1:83" x14ac:dyDescent="0.25">
      <c r="A16">
        <v>1420</v>
      </c>
      <c r="B16" t="s">
        <v>58</v>
      </c>
      <c r="C16" t="s">
        <v>38</v>
      </c>
      <c r="D16" t="s">
        <v>212</v>
      </c>
      <c r="E16">
        <v>8000</v>
      </c>
      <c r="F16">
        <v>6004</v>
      </c>
      <c r="G16" t="s">
        <v>65</v>
      </c>
      <c r="H16">
        <f t="shared" si="0"/>
        <v>0</v>
      </c>
      <c r="I16" s="11"/>
      <c r="J16" s="11"/>
      <c r="K16" s="11"/>
      <c r="L16" s="11"/>
      <c r="M16" s="11"/>
      <c r="N16" s="11"/>
      <c r="O16" s="11"/>
      <c r="P16" s="11"/>
      <c r="Q16" s="11" t="s">
        <v>77</v>
      </c>
      <c r="R16" s="11"/>
      <c r="S16">
        <v>39.5</v>
      </c>
      <c r="V16" t="s">
        <v>76</v>
      </c>
      <c r="W16" t="s">
        <v>89</v>
      </c>
      <c r="X16" t="s">
        <v>89</v>
      </c>
      <c r="Z16" s="11"/>
      <c r="AA16" s="11"/>
      <c r="AB16" s="11"/>
      <c r="AC16" s="11"/>
      <c r="AD16" s="11"/>
      <c r="AE16" s="11"/>
      <c r="AF16" s="11"/>
      <c r="AG16" s="11"/>
      <c r="AH16" s="11"/>
      <c r="AI16" s="11"/>
      <c r="AJ16" s="11"/>
      <c r="AK16" s="11"/>
      <c r="AL16" s="11"/>
      <c r="AM16" s="11" t="s">
        <v>77</v>
      </c>
      <c r="AO16" t="s">
        <v>63</v>
      </c>
      <c r="AP16" s="11"/>
      <c r="AQ16" s="11"/>
      <c r="AR16" s="11"/>
      <c r="AS16" s="11"/>
      <c r="AT16" s="11"/>
      <c r="AU16" s="11"/>
      <c r="AV16" s="11"/>
      <c r="AW16" s="11"/>
      <c r="AX16" s="11"/>
      <c r="AY16" s="11"/>
      <c r="AZ16" s="11" t="s">
        <v>77</v>
      </c>
      <c r="BC16" t="s">
        <v>77</v>
      </c>
      <c r="BD16" s="22"/>
      <c r="BE16" s="22"/>
      <c r="BF16" s="22"/>
      <c r="BG16" s="22"/>
      <c r="BH16" s="22"/>
      <c r="BI16" s="22"/>
      <c r="BJ16" s="22"/>
      <c r="BK16" s="22" t="s">
        <v>77</v>
      </c>
      <c r="BL16" t="s">
        <v>77</v>
      </c>
      <c r="BN16" s="22" t="s">
        <v>77</v>
      </c>
      <c r="BO16" s="22"/>
      <c r="BX16" t="s">
        <v>77</v>
      </c>
      <c r="BY16" t="s">
        <v>90</v>
      </c>
      <c r="CA16" t="s">
        <v>76</v>
      </c>
      <c r="CC16" t="s">
        <v>77</v>
      </c>
      <c r="CE16" t="s">
        <v>77</v>
      </c>
    </row>
    <row r="17" spans="1:83" x14ac:dyDescent="0.25">
      <c r="A17">
        <v>1421</v>
      </c>
      <c r="B17" t="s">
        <v>58</v>
      </c>
      <c r="C17" t="s">
        <v>38</v>
      </c>
      <c r="D17" t="s">
        <v>212</v>
      </c>
      <c r="E17">
        <v>175000</v>
      </c>
      <c r="F17">
        <v>161000</v>
      </c>
      <c r="G17" t="s">
        <v>65</v>
      </c>
      <c r="H17">
        <f t="shared" si="0"/>
        <v>0</v>
      </c>
      <c r="I17" s="11"/>
      <c r="J17" s="11"/>
      <c r="K17" s="11"/>
      <c r="L17" s="11"/>
      <c r="M17" s="11"/>
      <c r="N17" s="11"/>
      <c r="O17" s="11"/>
      <c r="P17" s="11"/>
      <c r="Q17" s="11" t="s">
        <v>77</v>
      </c>
      <c r="R17" s="11"/>
      <c r="V17" t="s">
        <v>77</v>
      </c>
      <c r="W17" t="s">
        <v>77</v>
      </c>
      <c r="X17" t="s">
        <v>77</v>
      </c>
      <c r="Z17" s="11"/>
      <c r="AA17" s="11"/>
      <c r="AB17" s="11"/>
      <c r="AC17" s="11"/>
      <c r="AD17" s="11"/>
      <c r="AE17" s="11"/>
      <c r="AF17" s="11"/>
      <c r="AG17" s="11"/>
      <c r="AH17" s="11"/>
      <c r="AI17" s="11"/>
      <c r="AJ17" s="11"/>
      <c r="AK17" s="11"/>
      <c r="AL17" s="11"/>
      <c r="AM17" s="11" t="s">
        <v>77</v>
      </c>
      <c r="AO17" t="s">
        <v>77</v>
      </c>
      <c r="AP17" s="11"/>
      <c r="AQ17" s="11"/>
      <c r="AR17" s="11"/>
      <c r="AS17" s="11"/>
      <c r="AT17" s="11"/>
      <c r="AU17" s="11"/>
      <c r="AV17" s="11"/>
      <c r="AW17" s="11"/>
      <c r="AX17" s="11"/>
      <c r="AY17" s="11"/>
      <c r="AZ17" s="11" t="s">
        <v>77</v>
      </c>
      <c r="BC17" t="s">
        <v>77</v>
      </c>
      <c r="BD17" s="22"/>
      <c r="BE17" s="22"/>
      <c r="BF17" s="22"/>
      <c r="BG17" s="22"/>
      <c r="BH17" s="22"/>
      <c r="BI17" s="22"/>
      <c r="BJ17" s="22"/>
      <c r="BK17" s="22" t="s">
        <v>77</v>
      </c>
      <c r="BL17" t="s">
        <v>77</v>
      </c>
      <c r="BN17" s="22" t="s">
        <v>77</v>
      </c>
      <c r="BO17" s="22"/>
      <c r="BX17" t="s">
        <v>77</v>
      </c>
      <c r="BY17" t="s">
        <v>77</v>
      </c>
      <c r="CA17" t="s">
        <v>201</v>
      </c>
      <c r="CC17" t="s">
        <v>77</v>
      </c>
      <c r="CE17" t="s">
        <v>77</v>
      </c>
    </row>
    <row r="18" spans="1:83" x14ac:dyDescent="0.25">
      <c r="A18">
        <v>1593</v>
      </c>
      <c r="B18" t="s">
        <v>59</v>
      </c>
      <c r="C18" t="s">
        <v>41</v>
      </c>
      <c r="D18" t="s">
        <v>212</v>
      </c>
      <c r="E18">
        <v>43000</v>
      </c>
      <c r="F18">
        <v>70400</v>
      </c>
      <c r="G18" t="s">
        <v>65</v>
      </c>
      <c r="H18">
        <f t="shared" si="0"/>
        <v>70400</v>
      </c>
      <c r="I18">
        <v>1.4362450808605982</v>
      </c>
      <c r="J18">
        <v>78.993479447332888</v>
      </c>
      <c r="K18">
        <v>18.85215293137621</v>
      </c>
      <c r="L18">
        <v>0.71812254043029911</v>
      </c>
      <c r="M18">
        <v>1011.1165369258612</v>
      </c>
      <c r="N18">
        <v>55611.409530922356</v>
      </c>
      <c r="O18">
        <v>13271.915663688851</v>
      </c>
      <c r="P18">
        <v>505.55826846293058</v>
      </c>
      <c r="Q18" t="s">
        <v>76</v>
      </c>
      <c r="R18" t="s">
        <v>64</v>
      </c>
      <c r="S18">
        <v>25</v>
      </c>
      <c r="T18">
        <v>25</v>
      </c>
      <c r="U18">
        <v>25</v>
      </c>
      <c r="V18" t="s">
        <v>76</v>
      </c>
      <c r="W18" t="s">
        <v>89</v>
      </c>
      <c r="X18" t="s">
        <v>89</v>
      </c>
      <c r="Z18">
        <v>1011.1165369258612</v>
      </c>
      <c r="AA18">
        <v>5</v>
      </c>
      <c r="AB18">
        <v>5</v>
      </c>
      <c r="AC18">
        <v>48</v>
      </c>
      <c r="AD18">
        <v>2</v>
      </c>
      <c r="AE18">
        <v>30</v>
      </c>
      <c r="AF18">
        <v>10</v>
      </c>
      <c r="AG18">
        <v>50.555826846293058</v>
      </c>
      <c r="AH18">
        <v>50.555826846293058</v>
      </c>
      <c r="AI18">
        <v>485.33593772441338</v>
      </c>
      <c r="AJ18">
        <v>20.222330738517226</v>
      </c>
      <c r="AK18">
        <v>303.33496107775835</v>
      </c>
      <c r="AL18">
        <v>101.11165369258612</v>
      </c>
      <c r="AM18" s="18" t="s">
        <v>76</v>
      </c>
      <c r="AO18" t="s">
        <v>64</v>
      </c>
      <c r="AP18">
        <v>0</v>
      </c>
      <c r="AQ18">
        <v>0</v>
      </c>
      <c r="AR18">
        <v>0</v>
      </c>
      <c r="AS18">
        <v>100</v>
      </c>
      <c r="AT18">
        <v>0</v>
      </c>
      <c r="AU18">
        <v>0</v>
      </c>
      <c r="AV18">
        <v>0</v>
      </c>
      <c r="AW18">
        <v>0</v>
      </c>
      <c r="AX18">
        <v>13271.915663688851</v>
      </c>
      <c r="AY18">
        <v>0</v>
      </c>
      <c r="AZ18" t="s">
        <v>76</v>
      </c>
      <c r="BB18">
        <v>0</v>
      </c>
      <c r="BC18" t="s">
        <v>118</v>
      </c>
      <c r="BD18" s="22">
        <v>30</v>
      </c>
      <c r="BE18" s="22"/>
      <c r="BF18" s="22">
        <v>30</v>
      </c>
      <c r="BG18" s="22"/>
      <c r="BH18" s="22">
        <v>30</v>
      </c>
      <c r="BI18" s="22"/>
      <c r="BJ18" s="22"/>
      <c r="BK18" s="22" t="s">
        <v>118</v>
      </c>
      <c r="BL18" t="s">
        <v>63</v>
      </c>
      <c r="BN18" s="22" t="s">
        <v>77</v>
      </c>
      <c r="BO18" s="22"/>
      <c r="BX18" t="s">
        <v>77</v>
      </c>
      <c r="BY18" t="s">
        <v>63</v>
      </c>
      <c r="CA18" t="s">
        <v>76</v>
      </c>
      <c r="CC18" t="s">
        <v>77</v>
      </c>
      <c r="CE18" t="s">
        <v>77</v>
      </c>
    </row>
    <row r="19" spans="1:83" x14ac:dyDescent="0.25">
      <c r="A19">
        <v>1595</v>
      </c>
      <c r="B19" t="s">
        <v>59</v>
      </c>
      <c r="C19" t="s">
        <v>41</v>
      </c>
      <c r="D19" t="s">
        <v>212</v>
      </c>
      <c r="E19">
        <v>10976</v>
      </c>
      <c r="F19">
        <v>12000</v>
      </c>
      <c r="G19" t="s">
        <v>65</v>
      </c>
      <c r="H19">
        <f t="shared" si="0"/>
        <v>12000</v>
      </c>
      <c r="I19">
        <v>10</v>
      </c>
      <c r="J19">
        <v>85</v>
      </c>
      <c r="K19">
        <v>0</v>
      </c>
      <c r="L19">
        <v>5</v>
      </c>
      <c r="M19">
        <v>1200</v>
      </c>
      <c r="N19">
        <v>10200</v>
      </c>
      <c r="O19">
        <v>0</v>
      </c>
      <c r="P19">
        <v>600</v>
      </c>
      <c r="Q19" t="s">
        <v>76</v>
      </c>
      <c r="S19">
        <v>10</v>
      </c>
      <c r="T19">
        <v>0</v>
      </c>
      <c r="U19">
        <v>10</v>
      </c>
      <c r="V19" t="s">
        <v>76</v>
      </c>
      <c r="W19" t="s">
        <v>64</v>
      </c>
      <c r="X19" t="s">
        <v>64</v>
      </c>
      <c r="Z19">
        <v>1200</v>
      </c>
      <c r="AA19">
        <v>10</v>
      </c>
      <c r="AB19">
        <v>10</v>
      </c>
      <c r="AC19">
        <v>50</v>
      </c>
      <c r="AD19">
        <v>5</v>
      </c>
      <c r="AE19">
        <v>5</v>
      </c>
      <c r="AF19">
        <v>20</v>
      </c>
      <c r="AG19">
        <v>120</v>
      </c>
      <c r="AH19">
        <v>120</v>
      </c>
      <c r="AI19">
        <v>600</v>
      </c>
      <c r="AJ19">
        <v>60</v>
      </c>
      <c r="AK19">
        <v>60</v>
      </c>
      <c r="AL19">
        <v>240</v>
      </c>
      <c r="AM19" s="18" t="s">
        <v>76</v>
      </c>
      <c r="AO19" t="s">
        <v>63</v>
      </c>
      <c r="AP19" s="11"/>
      <c r="AQ19" s="11"/>
      <c r="AR19" s="11"/>
      <c r="AS19" s="11"/>
      <c r="AT19" s="11"/>
      <c r="AU19" s="11"/>
      <c r="AV19" s="11"/>
      <c r="AW19" s="11"/>
      <c r="AX19" s="11"/>
      <c r="AY19" s="11"/>
      <c r="AZ19" s="11" t="s">
        <v>77</v>
      </c>
      <c r="BA19" t="s">
        <v>64</v>
      </c>
      <c r="BC19" t="s">
        <v>77</v>
      </c>
      <c r="BD19" s="22"/>
      <c r="BE19" s="22"/>
      <c r="BF19" s="22"/>
      <c r="BG19" s="22"/>
      <c r="BH19" s="22"/>
      <c r="BI19" s="22"/>
      <c r="BJ19" s="22"/>
      <c r="BK19" s="22" t="s">
        <v>77</v>
      </c>
      <c r="BL19" t="s">
        <v>77</v>
      </c>
      <c r="BN19" s="22" t="s">
        <v>77</v>
      </c>
      <c r="BO19" s="22"/>
      <c r="BX19" t="s">
        <v>77</v>
      </c>
      <c r="BY19" t="s">
        <v>77</v>
      </c>
      <c r="CA19" t="s">
        <v>201</v>
      </c>
      <c r="CC19" t="s">
        <v>77</v>
      </c>
      <c r="CE19" t="s">
        <v>77</v>
      </c>
    </row>
    <row r="20" spans="1:83" x14ac:dyDescent="0.25">
      <c r="A20">
        <v>1614</v>
      </c>
      <c r="B20" t="s">
        <v>58</v>
      </c>
      <c r="C20" t="s">
        <v>41</v>
      </c>
      <c r="D20" t="s">
        <v>212</v>
      </c>
      <c r="E20">
        <v>106159</v>
      </c>
      <c r="F20">
        <v>358000</v>
      </c>
      <c r="G20" t="s">
        <v>65</v>
      </c>
      <c r="H20">
        <f t="shared" si="0"/>
        <v>358000</v>
      </c>
      <c r="I20">
        <v>0</v>
      </c>
      <c r="J20">
        <v>87</v>
      </c>
      <c r="K20">
        <v>6</v>
      </c>
      <c r="L20">
        <v>7</v>
      </c>
      <c r="M20">
        <v>0</v>
      </c>
      <c r="N20">
        <v>311460</v>
      </c>
      <c r="O20">
        <v>21480</v>
      </c>
      <c r="P20">
        <v>25060</v>
      </c>
      <c r="Q20" t="s">
        <v>76</v>
      </c>
      <c r="S20">
        <v>29</v>
      </c>
      <c r="T20">
        <v>12</v>
      </c>
      <c r="U20">
        <v>12</v>
      </c>
      <c r="V20" t="s">
        <v>76</v>
      </c>
      <c r="W20" t="s">
        <v>89</v>
      </c>
      <c r="X20" t="s">
        <v>89</v>
      </c>
      <c r="Z20">
        <v>0</v>
      </c>
      <c r="AA20" s="11"/>
      <c r="AB20" s="11"/>
      <c r="AC20" s="11"/>
      <c r="AD20" s="11"/>
      <c r="AE20" s="11"/>
      <c r="AF20" s="11"/>
      <c r="AG20" s="11"/>
      <c r="AH20" s="11"/>
      <c r="AI20" s="11"/>
      <c r="AJ20" s="11"/>
      <c r="AK20" s="11"/>
      <c r="AL20" s="11"/>
      <c r="AM20" s="11" t="s">
        <v>77</v>
      </c>
      <c r="AO20" t="s">
        <v>64</v>
      </c>
      <c r="AP20">
        <v>29.335044999522008</v>
      </c>
      <c r="AQ20">
        <v>68.448438332218018</v>
      </c>
      <c r="AR20">
        <v>1.0693361375524084</v>
      </c>
      <c r="AS20">
        <v>1.1471805307075646</v>
      </c>
      <c r="AT20">
        <v>0</v>
      </c>
      <c r="AU20">
        <v>6301.1676658973274</v>
      </c>
      <c r="AV20">
        <v>14702.72455376043</v>
      </c>
      <c r="AW20">
        <v>229.69340234625733</v>
      </c>
      <c r="AX20">
        <v>246.41437799598486</v>
      </c>
      <c r="AY20">
        <v>0</v>
      </c>
      <c r="AZ20" t="s">
        <v>76</v>
      </c>
      <c r="BC20" t="s">
        <v>77</v>
      </c>
      <c r="BD20" s="22">
        <v>12</v>
      </c>
      <c r="BE20" s="22"/>
      <c r="BF20" s="22">
        <v>12</v>
      </c>
      <c r="BG20" s="22"/>
      <c r="BH20" s="22"/>
      <c r="BI20" s="22"/>
      <c r="BJ20" s="22"/>
      <c r="BK20" s="22" t="s">
        <v>118</v>
      </c>
      <c r="BL20" t="s">
        <v>63</v>
      </c>
      <c r="BN20" s="22" t="s">
        <v>77</v>
      </c>
      <c r="BO20" s="22"/>
      <c r="BX20" t="s">
        <v>77</v>
      </c>
      <c r="BY20" t="s">
        <v>90</v>
      </c>
      <c r="CA20" t="s">
        <v>76</v>
      </c>
      <c r="CC20" t="s">
        <v>77</v>
      </c>
      <c r="CE20" t="s">
        <v>77</v>
      </c>
    </row>
    <row r="21" spans="1:83" x14ac:dyDescent="0.25">
      <c r="A21">
        <v>1635</v>
      </c>
      <c r="B21" t="s">
        <v>59</v>
      </c>
      <c r="C21" t="s">
        <v>42</v>
      </c>
      <c r="D21" t="s">
        <v>212</v>
      </c>
      <c r="E21">
        <v>1300000</v>
      </c>
      <c r="F21">
        <v>922000</v>
      </c>
      <c r="G21" t="s">
        <v>65</v>
      </c>
      <c r="H21">
        <f t="shared" si="0"/>
        <v>922000</v>
      </c>
      <c r="I21">
        <v>4.2741582282822632</v>
      </c>
      <c r="J21">
        <v>93.021724332624487</v>
      </c>
      <c r="K21">
        <v>1.7062861786387069</v>
      </c>
      <c r="L21">
        <v>0.99783126045453818</v>
      </c>
      <c r="M21">
        <v>39407.738864762468</v>
      </c>
      <c r="N21">
        <v>857660.29834679782</v>
      </c>
      <c r="O21">
        <v>15731.958567048878</v>
      </c>
      <c r="P21">
        <v>9200.0042213908418</v>
      </c>
      <c r="Q21" t="s">
        <v>76</v>
      </c>
      <c r="R21" t="s">
        <v>64</v>
      </c>
      <c r="S21">
        <v>144.34</v>
      </c>
      <c r="T21">
        <v>75</v>
      </c>
      <c r="U21">
        <v>75</v>
      </c>
      <c r="V21" t="s">
        <v>76</v>
      </c>
      <c r="W21" t="s">
        <v>64</v>
      </c>
      <c r="X21" t="s">
        <v>64</v>
      </c>
      <c r="Z21">
        <v>39407.738864762468</v>
      </c>
      <c r="AA21">
        <v>0</v>
      </c>
      <c r="AB21">
        <v>0</v>
      </c>
      <c r="AC21">
        <v>26</v>
      </c>
      <c r="AD21">
        <v>20</v>
      </c>
      <c r="AE21">
        <v>54</v>
      </c>
      <c r="AF21">
        <v>0</v>
      </c>
      <c r="AG21">
        <v>0</v>
      </c>
      <c r="AH21">
        <v>0</v>
      </c>
      <c r="AI21">
        <v>10246.012104838241</v>
      </c>
      <c r="AJ21">
        <v>7881.5477729524946</v>
      </c>
      <c r="AK21">
        <v>21280.178986971732</v>
      </c>
      <c r="AL21">
        <v>0</v>
      </c>
      <c r="AM21" s="18" t="s">
        <v>76</v>
      </c>
      <c r="AO21" t="s">
        <v>64</v>
      </c>
      <c r="AP21">
        <v>0</v>
      </c>
      <c r="AQ21">
        <v>0</v>
      </c>
      <c r="AR21">
        <v>32.432432432432435</v>
      </c>
      <c r="AS21">
        <v>67.567567567567565</v>
      </c>
      <c r="AT21">
        <v>0</v>
      </c>
      <c r="AU21">
        <v>0</v>
      </c>
      <c r="AV21">
        <v>0</v>
      </c>
      <c r="AW21">
        <v>5102.2568325563934</v>
      </c>
      <c r="AX21">
        <v>10629.701734492486</v>
      </c>
      <c r="AY21">
        <v>0</v>
      </c>
      <c r="AZ21" t="s">
        <v>76</v>
      </c>
      <c r="BC21" t="s">
        <v>77</v>
      </c>
      <c r="BD21" s="22"/>
      <c r="BE21" s="22"/>
      <c r="BF21" s="22"/>
      <c r="BG21" s="22"/>
      <c r="BH21" s="22"/>
      <c r="BI21" s="22"/>
      <c r="BJ21" s="22"/>
      <c r="BK21" s="22" t="s">
        <v>77</v>
      </c>
      <c r="BL21" t="s">
        <v>63</v>
      </c>
      <c r="BN21" s="22" t="s">
        <v>77</v>
      </c>
      <c r="BO21" s="22"/>
      <c r="BX21" t="s">
        <v>77</v>
      </c>
      <c r="BY21" t="s">
        <v>90</v>
      </c>
      <c r="CA21" t="s">
        <v>76</v>
      </c>
      <c r="CC21" t="s">
        <v>77</v>
      </c>
      <c r="CE21" t="s">
        <v>77</v>
      </c>
    </row>
    <row r="22" spans="1:83" x14ac:dyDescent="0.25">
      <c r="A22">
        <v>1640</v>
      </c>
      <c r="B22" t="s">
        <v>59</v>
      </c>
      <c r="C22" t="s">
        <v>42</v>
      </c>
      <c r="D22" t="s">
        <v>212</v>
      </c>
      <c r="E22">
        <v>93147</v>
      </c>
      <c r="F22">
        <v>106000</v>
      </c>
      <c r="G22" t="s">
        <v>65</v>
      </c>
      <c r="H22">
        <f t="shared" si="0"/>
        <v>0</v>
      </c>
      <c r="I22" s="11"/>
      <c r="J22" s="11"/>
      <c r="K22" s="11"/>
      <c r="L22" s="11"/>
      <c r="M22" s="11"/>
      <c r="N22" s="11"/>
      <c r="O22" s="11"/>
      <c r="P22" s="11"/>
      <c r="Q22" s="11" t="s">
        <v>77</v>
      </c>
      <c r="R22" s="11"/>
      <c r="S22">
        <v>28.8</v>
      </c>
      <c r="T22">
        <v>28.8</v>
      </c>
      <c r="U22">
        <v>28.8</v>
      </c>
      <c r="V22" t="s">
        <v>76</v>
      </c>
      <c r="W22" t="s">
        <v>89</v>
      </c>
      <c r="X22" t="s">
        <v>89</v>
      </c>
      <c r="Z22" s="11"/>
      <c r="AA22" s="11"/>
      <c r="AB22" s="11"/>
      <c r="AC22" s="11"/>
      <c r="AD22" s="11"/>
      <c r="AE22" s="11"/>
      <c r="AF22" s="11"/>
      <c r="AG22" s="11"/>
      <c r="AH22" s="11"/>
      <c r="AI22" s="11"/>
      <c r="AJ22" s="11"/>
      <c r="AK22" s="11"/>
      <c r="AL22" s="11"/>
      <c r="AM22" s="11" t="s">
        <v>77</v>
      </c>
      <c r="AO22" t="s">
        <v>63</v>
      </c>
      <c r="AP22" s="11"/>
      <c r="AQ22" s="11"/>
      <c r="AR22" s="11"/>
      <c r="AS22" s="11"/>
      <c r="AT22" s="11"/>
      <c r="AU22" s="11"/>
      <c r="AV22" s="11"/>
      <c r="AW22" s="11"/>
      <c r="AX22" s="11"/>
      <c r="AY22" s="11"/>
      <c r="AZ22" s="11" t="s">
        <v>77</v>
      </c>
      <c r="BC22" t="s">
        <v>77</v>
      </c>
      <c r="BD22" s="22"/>
      <c r="BE22" s="22"/>
      <c r="BF22" s="22"/>
      <c r="BG22" s="22"/>
      <c r="BH22" s="22"/>
      <c r="BI22" s="22"/>
      <c r="BJ22" s="22" t="s">
        <v>64</v>
      </c>
      <c r="BK22" s="22" t="s">
        <v>76</v>
      </c>
      <c r="BL22" t="s">
        <v>63</v>
      </c>
      <c r="BN22" s="22" t="s">
        <v>77</v>
      </c>
      <c r="BO22" s="22"/>
      <c r="BX22" t="s">
        <v>77</v>
      </c>
      <c r="BY22" t="s">
        <v>90</v>
      </c>
      <c r="CA22" t="s">
        <v>76</v>
      </c>
      <c r="CC22" t="s">
        <v>77</v>
      </c>
      <c r="CE22" t="s">
        <v>77</v>
      </c>
    </row>
    <row r="23" spans="1:83" x14ac:dyDescent="0.25">
      <c r="A23">
        <v>1641</v>
      </c>
      <c r="B23" t="s">
        <v>58</v>
      </c>
      <c r="C23" t="s">
        <v>43</v>
      </c>
      <c r="D23" t="s">
        <v>212</v>
      </c>
      <c r="E23">
        <v>180000</v>
      </c>
      <c r="F23">
        <v>350000</v>
      </c>
      <c r="G23" t="s">
        <v>65</v>
      </c>
      <c r="H23">
        <f t="shared" si="0"/>
        <v>0</v>
      </c>
      <c r="I23" s="11"/>
      <c r="J23" s="11"/>
      <c r="K23" s="11"/>
      <c r="L23" s="11"/>
      <c r="M23" s="11"/>
      <c r="N23" s="11"/>
      <c r="O23" s="11"/>
      <c r="P23" s="11"/>
      <c r="Q23" s="11" t="s">
        <v>77</v>
      </c>
      <c r="R23" s="11"/>
      <c r="S23">
        <v>62.5</v>
      </c>
      <c r="V23" t="s">
        <v>76</v>
      </c>
      <c r="W23" t="s">
        <v>89</v>
      </c>
      <c r="X23" t="s">
        <v>89</v>
      </c>
      <c r="Z23" s="11"/>
      <c r="AA23" s="11"/>
      <c r="AB23" s="11"/>
      <c r="AC23" s="11"/>
      <c r="AD23" s="11"/>
      <c r="AE23" s="11"/>
      <c r="AF23" s="11"/>
      <c r="AG23" s="11"/>
      <c r="AH23" s="11"/>
      <c r="AI23" s="11"/>
      <c r="AJ23" s="11"/>
      <c r="AK23" s="11"/>
      <c r="AL23" s="11"/>
      <c r="AM23" s="11" t="s">
        <v>77</v>
      </c>
      <c r="AO23" t="s">
        <v>63</v>
      </c>
      <c r="AP23" s="11"/>
      <c r="AQ23" s="11"/>
      <c r="AR23" s="11"/>
      <c r="AS23" s="11"/>
      <c r="AT23" s="11"/>
      <c r="AU23" s="11"/>
      <c r="AV23" s="11"/>
      <c r="AW23" s="11"/>
      <c r="AX23" s="11"/>
      <c r="AY23" s="11"/>
      <c r="AZ23" s="11" t="s">
        <v>77</v>
      </c>
      <c r="BC23" t="s">
        <v>77</v>
      </c>
      <c r="BD23" s="22"/>
      <c r="BE23" s="22"/>
      <c r="BF23" s="22"/>
      <c r="BG23" s="22"/>
      <c r="BH23" s="22"/>
      <c r="BI23" s="22"/>
      <c r="BJ23" s="22"/>
      <c r="BK23" s="22" t="s">
        <v>77</v>
      </c>
      <c r="BL23" t="s">
        <v>77</v>
      </c>
      <c r="BN23" s="22" t="s">
        <v>77</v>
      </c>
      <c r="BO23" s="22"/>
      <c r="BX23" t="s">
        <v>77</v>
      </c>
      <c r="BY23" t="s">
        <v>90</v>
      </c>
      <c r="CA23" t="s">
        <v>76</v>
      </c>
      <c r="CC23" t="s">
        <v>77</v>
      </c>
      <c r="CE23" t="s">
        <v>77</v>
      </c>
    </row>
    <row r="24" spans="1:83" x14ac:dyDescent="0.25">
      <c r="A24">
        <v>1709</v>
      </c>
      <c r="B24" t="s">
        <v>58</v>
      </c>
      <c r="C24" t="s">
        <v>46</v>
      </c>
      <c r="D24" t="s">
        <v>212</v>
      </c>
      <c r="E24">
        <v>35000</v>
      </c>
      <c r="F24">
        <v>49000</v>
      </c>
      <c r="G24" t="s">
        <v>65</v>
      </c>
      <c r="H24">
        <f t="shared" si="0"/>
        <v>49000.000000000007</v>
      </c>
      <c r="I24">
        <v>20.618556701030926</v>
      </c>
      <c r="J24">
        <v>61.855670103092784</v>
      </c>
      <c r="K24">
        <v>13.814432989690722</v>
      </c>
      <c r="L24">
        <v>3.7113402061855671</v>
      </c>
      <c r="M24">
        <v>10103.092783505153</v>
      </c>
      <c r="N24">
        <v>30309.278350515466</v>
      </c>
      <c r="O24">
        <v>6769.072164948454</v>
      </c>
      <c r="P24">
        <v>1818.556701030928</v>
      </c>
      <c r="Q24" t="s">
        <v>76</v>
      </c>
      <c r="R24" t="s">
        <v>64</v>
      </c>
      <c r="S24">
        <v>60</v>
      </c>
      <c r="U24">
        <v>60</v>
      </c>
      <c r="V24" t="s">
        <v>76</v>
      </c>
      <c r="W24" t="s">
        <v>89</v>
      </c>
      <c r="X24" t="s">
        <v>89</v>
      </c>
      <c r="AA24" s="11"/>
      <c r="AB24" s="11"/>
      <c r="AC24" s="11"/>
      <c r="AD24" s="11"/>
      <c r="AE24" s="11"/>
      <c r="AF24" s="11"/>
      <c r="AG24" s="11"/>
      <c r="AH24" s="11"/>
      <c r="AI24" s="11"/>
      <c r="AJ24" s="11"/>
      <c r="AK24" s="11"/>
      <c r="AL24" s="11"/>
      <c r="AM24" s="11" t="s">
        <v>77</v>
      </c>
      <c r="AO24" t="s">
        <v>64</v>
      </c>
      <c r="AP24" s="11"/>
      <c r="AQ24" s="11"/>
      <c r="AR24" s="11"/>
      <c r="AS24" s="11"/>
      <c r="AT24" s="11"/>
      <c r="AU24" s="11"/>
      <c r="AV24" s="11"/>
      <c r="AW24" s="11"/>
      <c r="AX24" s="11"/>
      <c r="AY24" s="11"/>
      <c r="AZ24" s="11" t="s">
        <v>77</v>
      </c>
      <c r="BC24" t="s">
        <v>77</v>
      </c>
      <c r="BD24" s="22"/>
      <c r="BE24" s="22"/>
      <c r="BF24" s="22"/>
      <c r="BG24" s="22"/>
      <c r="BH24" s="22"/>
      <c r="BI24" s="22"/>
      <c r="BJ24" s="22"/>
      <c r="BK24" s="22" t="s">
        <v>77</v>
      </c>
      <c r="BL24" t="s">
        <v>77</v>
      </c>
      <c r="BN24" s="22" t="s">
        <v>77</v>
      </c>
      <c r="BO24" s="22"/>
      <c r="BX24" t="s">
        <v>77</v>
      </c>
      <c r="BY24" t="s">
        <v>77</v>
      </c>
      <c r="CA24" t="s">
        <v>201</v>
      </c>
      <c r="CC24" t="s">
        <v>77</v>
      </c>
      <c r="CE24" t="s">
        <v>77</v>
      </c>
    </row>
    <row r="25" spans="1:83" x14ac:dyDescent="0.25">
      <c r="A25">
        <v>1714</v>
      </c>
      <c r="B25" t="s">
        <v>59</v>
      </c>
      <c r="C25" t="s">
        <v>46</v>
      </c>
      <c r="D25" t="s">
        <v>212</v>
      </c>
      <c r="E25">
        <v>600</v>
      </c>
      <c r="F25">
        <v>1843</v>
      </c>
      <c r="G25" t="s">
        <v>65</v>
      </c>
      <c r="H25">
        <f t="shared" si="0"/>
        <v>0</v>
      </c>
      <c r="I25" s="11"/>
      <c r="J25" s="11"/>
      <c r="K25" s="11"/>
      <c r="L25" s="11"/>
      <c r="M25" s="11"/>
      <c r="N25" s="11"/>
      <c r="O25" s="11"/>
      <c r="P25" s="11"/>
      <c r="Q25" s="11" t="s">
        <v>77</v>
      </c>
      <c r="R25" s="11"/>
      <c r="V25" t="s">
        <v>77</v>
      </c>
      <c r="W25" t="s">
        <v>64</v>
      </c>
      <c r="X25" t="s">
        <v>63</v>
      </c>
      <c r="Y25" t="s">
        <v>102</v>
      </c>
      <c r="Z25" s="11"/>
      <c r="AA25" s="11"/>
      <c r="AB25" s="11"/>
      <c r="AC25" s="11"/>
      <c r="AD25" s="11"/>
      <c r="AE25" s="11"/>
      <c r="AF25" s="11"/>
      <c r="AG25" s="11"/>
      <c r="AH25" s="11"/>
      <c r="AI25" s="11"/>
      <c r="AJ25" s="11"/>
      <c r="AK25" s="11"/>
      <c r="AL25" s="11"/>
      <c r="AM25" s="11" t="s">
        <v>77</v>
      </c>
      <c r="AO25" t="s">
        <v>64</v>
      </c>
      <c r="AP25" s="11"/>
      <c r="AQ25" s="11"/>
      <c r="AR25" s="11"/>
      <c r="AS25" s="11"/>
      <c r="AT25" s="11"/>
      <c r="AU25" s="11"/>
      <c r="AV25" s="11"/>
      <c r="AW25" s="11"/>
      <c r="AX25" s="11"/>
      <c r="AY25" s="11"/>
      <c r="AZ25" s="11" t="s">
        <v>77</v>
      </c>
      <c r="BB25">
        <v>0</v>
      </c>
      <c r="BC25" t="s">
        <v>118</v>
      </c>
      <c r="BD25" s="22"/>
      <c r="BE25" s="22"/>
      <c r="BF25" s="22"/>
      <c r="BG25" s="22"/>
      <c r="BH25" s="22"/>
      <c r="BI25" s="22"/>
      <c r="BJ25" s="22" t="s">
        <v>64</v>
      </c>
      <c r="BK25" s="22" t="s">
        <v>76</v>
      </c>
      <c r="BL25" t="s">
        <v>158</v>
      </c>
      <c r="BN25" s="22" t="s">
        <v>64</v>
      </c>
      <c r="BO25" s="22">
        <v>0</v>
      </c>
      <c r="BW25" t="s">
        <v>64</v>
      </c>
      <c r="BX25" t="s">
        <v>65</v>
      </c>
      <c r="BY25" t="s">
        <v>63</v>
      </c>
      <c r="CA25" t="s">
        <v>76</v>
      </c>
      <c r="CC25" t="s">
        <v>77</v>
      </c>
      <c r="CE25" t="s">
        <v>77</v>
      </c>
    </row>
    <row r="26" spans="1:83" x14ac:dyDescent="0.25">
      <c r="A26">
        <v>1727</v>
      </c>
      <c r="B26" t="s">
        <v>58</v>
      </c>
      <c r="C26" t="s">
        <v>46</v>
      </c>
      <c r="D26" t="s">
        <v>212</v>
      </c>
      <c r="E26">
        <v>1500</v>
      </c>
      <c r="G26" t="s">
        <v>66</v>
      </c>
      <c r="H26">
        <f t="shared" si="0"/>
        <v>0</v>
      </c>
      <c r="I26" s="11"/>
      <c r="J26" s="11"/>
      <c r="K26" s="11"/>
      <c r="L26" s="11"/>
      <c r="M26" s="11"/>
      <c r="N26" s="11"/>
      <c r="O26" s="11"/>
      <c r="P26" s="11"/>
      <c r="Q26" s="11" t="s">
        <v>77</v>
      </c>
      <c r="R26" s="11"/>
      <c r="S26">
        <v>26</v>
      </c>
      <c r="V26" t="s">
        <v>76</v>
      </c>
      <c r="W26" t="s">
        <v>90</v>
      </c>
      <c r="X26" t="s">
        <v>77</v>
      </c>
      <c r="Z26" s="11"/>
      <c r="AA26" s="11"/>
      <c r="AB26" s="11"/>
      <c r="AC26" s="11"/>
      <c r="AD26" s="11"/>
      <c r="AE26" s="11"/>
      <c r="AF26" s="11"/>
      <c r="AG26" s="11"/>
      <c r="AH26" s="11"/>
      <c r="AI26" s="11"/>
      <c r="AJ26" s="11"/>
      <c r="AK26" s="11"/>
      <c r="AL26" s="11"/>
      <c r="AM26" s="11" t="s">
        <v>77</v>
      </c>
      <c r="AO26" t="s">
        <v>63</v>
      </c>
      <c r="AP26" s="11"/>
      <c r="AQ26" s="11"/>
      <c r="AR26" s="11"/>
      <c r="AS26" s="11"/>
      <c r="AT26" s="11"/>
      <c r="AU26" s="11"/>
      <c r="AV26" s="11"/>
      <c r="AW26" s="11"/>
      <c r="AX26" s="11"/>
      <c r="AY26" s="11"/>
      <c r="AZ26" s="11" t="s">
        <v>77</v>
      </c>
      <c r="BA26" t="s">
        <v>64</v>
      </c>
      <c r="BC26" t="s">
        <v>77</v>
      </c>
      <c r="BD26" s="22"/>
      <c r="BE26" s="22"/>
      <c r="BF26" s="22"/>
      <c r="BG26" s="22"/>
      <c r="BH26" s="22"/>
      <c r="BI26" s="22"/>
      <c r="BJ26" s="22"/>
      <c r="BK26" s="22" t="s">
        <v>77</v>
      </c>
      <c r="BL26" t="s">
        <v>77</v>
      </c>
      <c r="BN26" s="22" t="s">
        <v>77</v>
      </c>
      <c r="BO26" s="22"/>
      <c r="BX26" t="s">
        <v>77</v>
      </c>
      <c r="BY26" t="s">
        <v>90</v>
      </c>
      <c r="CA26" t="s">
        <v>76</v>
      </c>
      <c r="CC26" t="s">
        <v>77</v>
      </c>
      <c r="CE26" t="s">
        <v>77</v>
      </c>
    </row>
    <row r="27" spans="1:83" x14ac:dyDescent="0.25">
      <c r="A27">
        <v>1730</v>
      </c>
      <c r="B27" t="s">
        <v>59</v>
      </c>
      <c r="C27" t="s">
        <v>46</v>
      </c>
      <c r="D27" t="s">
        <v>212</v>
      </c>
      <c r="E27">
        <v>38000</v>
      </c>
      <c r="F27">
        <v>58000</v>
      </c>
      <c r="G27" t="s">
        <v>65</v>
      </c>
      <c r="H27">
        <f t="shared" si="0"/>
        <v>58000</v>
      </c>
      <c r="I27">
        <v>5.1724137931034484</v>
      </c>
      <c r="J27">
        <v>82.758620689655174</v>
      </c>
      <c r="K27">
        <v>10.344827586206897</v>
      </c>
      <c r="L27">
        <v>1.7241379310344827</v>
      </c>
      <c r="M27">
        <v>3000</v>
      </c>
      <c r="N27">
        <v>48000</v>
      </c>
      <c r="O27">
        <v>6000</v>
      </c>
      <c r="P27">
        <v>1000</v>
      </c>
      <c r="Q27" t="s">
        <v>76</v>
      </c>
      <c r="S27">
        <v>50</v>
      </c>
      <c r="T27">
        <v>50</v>
      </c>
      <c r="U27">
        <v>50</v>
      </c>
      <c r="V27" t="s">
        <v>76</v>
      </c>
      <c r="W27" t="s">
        <v>64</v>
      </c>
      <c r="X27" t="s">
        <v>64</v>
      </c>
      <c r="Z27">
        <v>3000</v>
      </c>
      <c r="AA27">
        <v>8.695652173913043</v>
      </c>
      <c r="AB27">
        <v>4.3478260869565215</v>
      </c>
      <c r="AC27">
        <v>43.478260869565219</v>
      </c>
      <c r="AD27">
        <v>4.3478260869565215</v>
      </c>
      <c r="AE27">
        <v>30.434782608695656</v>
      </c>
      <c r="AF27">
        <v>8.695652173913043</v>
      </c>
      <c r="AG27">
        <v>260.86956521739131</v>
      </c>
      <c r="AH27">
        <v>130.43478260869566</v>
      </c>
      <c r="AI27">
        <v>1304.3478260869567</v>
      </c>
      <c r="AJ27">
        <v>130.43478260869566</v>
      </c>
      <c r="AK27">
        <v>913.04347826086973</v>
      </c>
      <c r="AL27">
        <v>260.86956521739131</v>
      </c>
      <c r="AM27" s="18" t="s">
        <v>76</v>
      </c>
      <c r="AN27" t="s">
        <v>64</v>
      </c>
      <c r="AO27" t="s">
        <v>64</v>
      </c>
      <c r="AP27">
        <v>0</v>
      </c>
      <c r="AQ27">
        <v>0</v>
      </c>
      <c r="AR27">
        <v>0</v>
      </c>
      <c r="AS27">
        <v>100</v>
      </c>
      <c r="AT27">
        <v>0</v>
      </c>
      <c r="AU27">
        <v>0</v>
      </c>
      <c r="AV27">
        <v>0</v>
      </c>
      <c r="AW27">
        <v>0</v>
      </c>
      <c r="AX27">
        <v>6000</v>
      </c>
      <c r="AY27">
        <v>0</v>
      </c>
      <c r="AZ27" t="s">
        <v>76</v>
      </c>
      <c r="BB27">
        <v>0</v>
      </c>
      <c r="BC27" t="s">
        <v>118</v>
      </c>
      <c r="BD27" s="22"/>
      <c r="BE27" s="22"/>
      <c r="BF27" s="22"/>
      <c r="BG27" s="22"/>
      <c r="BH27" s="22"/>
      <c r="BI27" s="22"/>
      <c r="BJ27" s="22" t="s">
        <v>64</v>
      </c>
      <c r="BK27" s="22" t="s">
        <v>76</v>
      </c>
      <c r="BL27" t="s">
        <v>63</v>
      </c>
      <c r="BN27" s="22" t="s">
        <v>77</v>
      </c>
      <c r="BO27" s="22"/>
      <c r="BX27" t="s">
        <v>77</v>
      </c>
      <c r="BY27" t="s">
        <v>77</v>
      </c>
      <c r="CA27" t="s">
        <v>201</v>
      </c>
      <c r="CC27" t="s">
        <v>77</v>
      </c>
      <c r="CE27" t="s">
        <v>77</v>
      </c>
    </row>
    <row r="28" spans="1:83" x14ac:dyDescent="0.25">
      <c r="A28">
        <v>1731</v>
      </c>
      <c r="B28" t="s">
        <v>59</v>
      </c>
      <c r="C28" t="s">
        <v>46</v>
      </c>
      <c r="D28" t="s">
        <v>212</v>
      </c>
      <c r="E28">
        <v>25000</v>
      </c>
      <c r="F28">
        <v>6354.36</v>
      </c>
      <c r="G28" t="s">
        <v>65</v>
      </c>
      <c r="H28">
        <f t="shared" si="0"/>
        <v>6354.3600000000006</v>
      </c>
      <c r="I28">
        <v>0</v>
      </c>
      <c r="J28">
        <v>50</v>
      </c>
      <c r="K28">
        <v>50</v>
      </c>
      <c r="L28">
        <v>0</v>
      </c>
      <c r="M28">
        <v>0</v>
      </c>
      <c r="N28">
        <v>3177.1800000000003</v>
      </c>
      <c r="O28">
        <v>3177.1800000000003</v>
      </c>
      <c r="P28">
        <v>0</v>
      </c>
      <c r="Q28" t="s">
        <v>76</v>
      </c>
      <c r="R28" t="s">
        <v>64</v>
      </c>
      <c r="S28">
        <v>115</v>
      </c>
      <c r="T28">
        <v>70</v>
      </c>
      <c r="V28" t="s">
        <v>76</v>
      </c>
      <c r="W28" t="s">
        <v>63</v>
      </c>
      <c r="X28" t="s">
        <v>77</v>
      </c>
      <c r="Z28">
        <v>0</v>
      </c>
      <c r="AA28" s="11"/>
      <c r="AB28" s="11"/>
      <c r="AC28" s="11"/>
      <c r="AD28" s="11"/>
      <c r="AE28" s="11"/>
      <c r="AF28" s="11"/>
      <c r="AG28" s="11"/>
      <c r="AH28" s="11"/>
      <c r="AI28" s="11"/>
      <c r="AJ28" s="11"/>
      <c r="AK28" s="11"/>
      <c r="AL28" s="11"/>
      <c r="AM28" s="11" t="s">
        <v>77</v>
      </c>
      <c r="AO28" t="s">
        <v>64</v>
      </c>
      <c r="AP28" s="11"/>
      <c r="AQ28" s="11"/>
      <c r="AR28" s="11"/>
      <c r="AS28" s="11"/>
      <c r="AT28" s="11"/>
      <c r="AU28" s="11"/>
      <c r="AV28" s="11"/>
      <c r="AW28" s="11"/>
      <c r="AX28" s="11"/>
      <c r="AY28" s="11"/>
      <c r="AZ28" s="11" t="s">
        <v>77</v>
      </c>
      <c r="BC28" t="s">
        <v>77</v>
      </c>
      <c r="BD28" s="22"/>
      <c r="BE28" s="22"/>
      <c r="BF28" s="22"/>
      <c r="BG28" s="22"/>
      <c r="BH28" s="22"/>
      <c r="BI28" s="22"/>
      <c r="BJ28" s="22"/>
      <c r="BK28" s="22" t="s">
        <v>77</v>
      </c>
      <c r="BL28" t="s">
        <v>63</v>
      </c>
      <c r="BN28" s="22" t="s">
        <v>77</v>
      </c>
      <c r="BO28" s="22"/>
      <c r="BX28" t="s">
        <v>77</v>
      </c>
      <c r="BY28" t="s">
        <v>77</v>
      </c>
      <c r="CA28" t="s">
        <v>201</v>
      </c>
      <c r="CC28" t="s">
        <v>77</v>
      </c>
      <c r="CE28" t="s">
        <v>77</v>
      </c>
    </row>
    <row r="29" spans="1:83" x14ac:dyDescent="0.25">
      <c r="A29">
        <v>1735</v>
      </c>
      <c r="B29" t="s">
        <v>59</v>
      </c>
      <c r="C29" t="s">
        <v>46</v>
      </c>
      <c r="D29" t="s">
        <v>212</v>
      </c>
      <c r="E29">
        <v>18000</v>
      </c>
      <c r="F29">
        <v>26500</v>
      </c>
      <c r="G29" t="s">
        <v>65</v>
      </c>
      <c r="H29">
        <f t="shared" si="0"/>
        <v>26500</v>
      </c>
      <c r="I29">
        <v>21.842009464870767</v>
      </c>
      <c r="J29">
        <v>72.806698216235901</v>
      </c>
      <c r="K29">
        <v>5.3512923188933383</v>
      </c>
      <c r="L29">
        <v>0</v>
      </c>
      <c r="M29">
        <v>5788.1325081907526</v>
      </c>
      <c r="N29">
        <v>19293.775027302512</v>
      </c>
      <c r="O29">
        <v>1418.0924645067348</v>
      </c>
      <c r="P29">
        <v>0</v>
      </c>
      <c r="Q29" t="s">
        <v>76</v>
      </c>
      <c r="R29" t="s">
        <v>64</v>
      </c>
      <c r="V29" t="s">
        <v>77</v>
      </c>
      <c r="W29" t="s">
        <v>90</v>
      </c>
      <c r="X29" t="s">
        <v>77</v>
      </c>
      <c r="Y29" t="s">
        <v>103</v>
      </c>
      <c r="AA29" s="11"/>
      <c r="AB29" s="11"/>
      <c r="AC29" s="11"/>
      <c r="AD29" s="11"/>
      <c r="AE29" s="11"/>
      <c r="AF29" s="11"/>
      <c r="AG29" s="11"/>
      <c r="AH29" s="11"/>
      <c r="AI29" s="11"/>
      <c r="AJ29" s="11"/>
      <c r="AK29" s="11"/>
      <c r="AL29" s="11"/>
      <c r="AM29" s="11" t="s">
        <v>77</v>
      </c>
      <c r="AO29" t="s">
        <v>64</v>
      </c>
      <c r="AP29" s="11"/>
      <c r="AQ29" s="11"/>
      <c r="AR29" s="11"/>
      <c r="AS29" s="11"/>
      <c r="AT29" s="11"/>
      <c r="AU29" s="11"/>
      <c r="AV29" s="11"/>
      <c r="AW29" s="11"/>
      <c r="AX29" s="11"/>
      <c r="AY29" s="11"/>
      <c r="AZ29" s="11" t="s">
        <v>77</v>
      </c>
      <c r="BC29" t="s">
        <v>77</v>
      </c>
      <c r="BD29" s="22"/>
      <c r="BE29" s="22"/>
      <c r="BF29" s="22"/>
      <c r="BG29" s="22"/>
      <c r="BH29" s="22"/>
      <c r="BI29" s="22"/>
      <c r="BJ29" s="22"/>
      <c r="BK29" s="22" t="s">
        <v>77</v>
      </c>
      <c r="BL29" t="s">
        <v>77</v>
      </c>
      <c r="BN29" s="22" t="s">
        <v>77</v>
      </c>
      <c r="BO29" s="22"/>
      <c r="BX29" t="s">
        <v>77</v>
      </c>
      <c r="BY29" t="s">
        <v>77</v>
      </c>
      <c r="CA29" t="s">
        <v>201</v>
      </c>
      <c r="CC29" t="s">
        <v>77</v>
      </c>
      <c r="CE29" t="s">
        <v>77</v>
      </c>
    </row>
    <row r="30" spans="1:83" x14ac:dyDescent="0.25">
      <c r="A30">
        <v>1739</v>
      </c>
      <c r="B30" t="s">
        <v>58</v>
      </c>
      <c r="C30" t="s">
        <v>47</v>
      </c>
      <c r="D30" t="s">
        <v>212</v>
      </c>
      <c r="E30">
        <v>440000</v>
      </c>
      <c r="F30">
        <v>440000</v>
      </c>
      <c r="G30" t="s">
        <v>65</v>
      </c>
      <c r="H30">
        <f t="shared" si="0"/>
        <v>440000</v>
      </c>
      <c r="I30">
        <v>10.1</v>
      </c>
      <c r="J30">
        <v>89.9</v>
      </c>
      <c r="K30">
        <v>0</v>
      </c>
      <c r="L30">
        <v>0</v>
      </c>
      <c r="M30">
        <v>44440</v>
      </c>
      <c r="N30">
        <v>395560</v>
      </c>
      <c r="O30">
        <v>0</v>
      </c>
      <c r="P30">
        <v>0</v>
      </c>
      <c r="Q30" t="s">
        <v>76</v>
      </c>
      <c r="S30">
        <v>33</v>
      </c>
      <c r="T30">
        <v>22</v>
      </c>
      <c r="V30" t="s">
        <v>76</v>
      </c>
      <c r="W30" t="s">
        <v>89</v>
      </c>
      <c r="X30" t="s">
        <v>89</v>
      </c>
      <c r="Z30">
        <v>44440</v>
      </c>
      <c r="AA30">
        <v>0</v>
      </c>
      <c r="AB30">
        <v>0</v>
      </c>
      <c r="AC30">
        <v>39.147286821705421</v>
      </c>
      <c r="AD30">
        <v>0</v>
      </c>
      <c r="AE30">
        <v>55.038759689922479</v>
      </c>
      <c r="AF30">
        <v>5.8139534883720927</v>
      </c>
      <c r="AG30">
        <v>0</v>
      </c>
      <c r="AH30">
        <v>0</v>
      </c>
      <c r="AI30">
        <v>17397.054263565889</v>
      </c>
      <c r="AJ30">
        <v>0</v>
      </c>
      <c r="AK30">
        <v>24459.224806201553</v>
      </c>
      <c r="AL30">
        <v>2583.7209302325577</v>
      </c>
      <c r="AM30" s="18" t="s">
        <v>76</v>
      </c>
      <c r="AN30" t="s">
        <v>64</v>
      </c>
      <c r="AO30" t="s">
        <v>64</v>
      </c>
      <c r="AP30" s="11"/>
      <c r="AQ30" s="11"/>
      <c r="AR30" s="11"/>
      <c r="AS30" s="11"/>
      <c r="AT30" s="11"/>
      <c r="AU30" s="11"/>
      <c r="AV30" s="11"/>
      <c r="AW30" s="11"/>
      <c r="AX30" s="11"/>
      <c r="AY30" s="11"/>
      <c r="AZ30" s="11" t="s">
        <v>77</v>
      </c>
      <c r="BA30" t="s">
        <v>89</v>
      </c>
      <c r="BB30">
        <v>0</v>
      </c>
      <c r="BC30" t="s">
        <v>118</v>
      </c>
      <c r="BD30" s="22"/>
      <c r="BE30" s="22"/>
      <c r="BF30" s="22"/>
      <c r="BG30" s="22"/>
      <c r="BH30" s="22"/>
      <c r="BI30" s="22"/>
      <c r="BJ30" s="22"/>
      <c r="BK30" s="22" t="s">
        <v>77</v>
      </c>
      <c r="BL30" t="s">
        <v>63</v>
      </c>
      <c r="BN30" s="22" t="s">
        <v>77</v>
      </c>
      <c r="BO30" s="22"/>
      <c r="BX30" t="s">
        <v>77</v>
      </c>
      <c r="BY30" t="s">
        <v>90</v>
      </c>
      <c r="CA30" t="s">
        <v>76</v>
      </c>
      <c r="CC30" t="s">
        <v>77</v>
      </c>
      <c r="CE30" t="s">
        <v>77</v>
      </c>
    </row>
    <row r="31" spans="1:83" x14ac:dyDescent="0.25">
      <c r="A31">
        <v>1744</v>
      </c>
      <c r="B31" t="s">
        <v>59</v>
      </c>
      <c r="C31" t="s">
        <v>15</v>
      </c>
      <c r="D31" t="s">
        <v>212</v>
      </c>
      <c r="E31">
        <v>472592</v>
      </c>
      <c r="F31">
        <f>SUM(M31:P31)</f>
        <v>493250.49</v>
      </c>
      <c r="G31" t="s">
        <v>65</v>
      </c>
      <c r="H31">
        <f t="shared" si="0"/>
        <v>493250.49</v>
      </c>
      <c r="I31">
        <f>(M31/$F31)*100</f>
        <v>0</v>
      </c>
      <c r="J31">
        <f t="shared" ref="J31:L31" si="1">(N31/$F31)*100</f>
        <v>90.207083220535679</v>
      </c>
      <c r="K31">
        <f t="shared" si="1"/>
        <v>0.62934554814126997</v>
      </c>
      <c r="L31">
        <f t="shared" si="1"/>
        <v>9.1635712313230542</v>
      </c>
      <c r="M31">
        <v>0</v>
      </c>
      <c r="N31">
        <v>444946.88</v>
      </c>
      <c r="O31">
        <v>3104.25</v>
      </c>
      <c r="P31">
        <v>45199.360000000001</v>
      </c>
      <c r="Q31" t="s">
        <v>76</v>
      </c>
      <c r="S31">
        <v>45</v>
      </c>
      <c r="T31">
        <v>22.5</v>
      </c>
      <c r="U31">
        <v>22.5</v>
      </c>
      <c r="V31" t="s">
        <v>76</v>
      </c>
      <c r="W31" t="s">
        <v>90</v>
      </c>
      <c r="X31" t="s">
        <v>77</v>
      </c>
      <c r="Z31">
        <v>0</v>
      </c>
      <c r="AA31" s="11"/>
      <c r="AB31" s="11"/>
      <c r="AC31" s="11"/>
      <c r="AD31" s="11"/>
      <c r="AE31" s="11"/>
      <c r="AF31" s="11"/>
      <c r="AG31" s="11"/>
      <c r="AH31" s="11"/>
      <c r="AI31" s="11"/>
      <c r="AJ31" s="11"/>
      <c r="AK31" s="11"/>
      <c r="AL31" s="11"/>
      <c r="AM31" s="11" t="s">
        <v>77</v>
      </c>
      <c r="AO31" t="s">
        <v>64</v>
      </c>
      <c r="AP31">
        <v>1.7472351576625629</v>
      </c>
      <c r="AQ31">
        <v>0</v>
      </c>
      <c r="AR31">
        <v>30.800637495376083</v>
      </c>
      <c r="AS31">
        <v>35.850990641540228</v>
      </c>
      <c r="AT31">
        <v>31.60113670542113</v>
      </c>
      <c r="AU31">
        <v>54.238547381740112</v>
      </c>
      <c r="AV31">
        <v>0</v>
      </c>
      <c r="AW31">
        <v>956.12878945021203</v>
      </c>
      <c r="AX31">
        <v>1112.9043769900125</v>
      </c>
      <c r="AY31">
        <v>980.97828617803555</v>
      </c>
      <c r="AZ31" t="s">
        <v>76</v>
      </c>
      <c r="BB31">
        <v>1522</v>
      </c>
      <c r="BC31" t="s">
        <v>76</v>
      </c>
      <c r="BD31" s="22"/>
      <c r="BE31" s="22"/>
      <c r="BF31" s="22"/>
      <c r="BG31" s="22"/>
      <c r="BH31" s="22"/>
      <c r="BI31" s="22"/>
      <c r="BJ31" s="22" t="s">
        <v>64</v>
      </c>
      <c r="BK31" s="22" t="s">
        <v>76</v>
      </c>
      <c r="BL31" t="s">
        <v>63</v>
      </c>
      <c r="BN31" s="22" t="s">
        <v>77</v>
      </c>
      <c r="BO31" s="22"/>
      <c r="BX31" t="s">
        <v>77</v>
      </c>
      <c r="BY31" t="s">
        <v>89</v>
      </c>
      <c r="BZ31">
        <v>3563.72</v>
      </c>
      <c r="CA31" t="s">
        <v>76</v>
      </c>
      <c r="CB31">
        <v>3563.72</v>
      </c>
      <c r="CC31" t="s">
        <v>76</v>
      </c>
      <c r="CD31">
        <v>2.8060565925493588</v>
      </c>
      <c r="CE31" t="s">
        <v>76</v>
      </c>
    </row>
    <row r="32" spans="1:83" x14ac:dyDescent="0.25">
      <c r="A32">
        <v>1753</v>
      </c>
      <c r="B32" t="s">
        <v>58</v>
      </c>
      <c r="C32" t="s">
        <v>15</v>
      </c>
      <c r="D32" t="s">
        <v>212</v>
      </c>
      <c r="E32">
        <v>180000</v>
      </c>
      <c r="F32">
        <v>133000</v>
      </c>
      <c r="G32" t="s">
        <v>65</v>
      </c>
      <c r="H32">
        <f t="shared" si="0"/>
        <v>133000</v>
      </c>
      <c r="I32">
        <v>3</v>
      </c>
      <c r="J32">
        <v>97</v>
      </c>
      <c r="K32">
        <v>0</v>
      </c>
      <c r="L32">
        <v>0</v>
      </c>
      <c r="M32">
        <v>3990</v>
      </c>
      <c r="N32">
        <v>129010</v>
      </c>
      <c r="O32">
        <v>0</v>
      </c>
      <c r="P32">
        <v>0</v>
      </c>
      <c r="Q32" t="s">
        <v>76</v>
      </c>
      <c r="S32">
        <v>43.75</v>
      </c>
      <c r="V32" t="s">
        <v>76</v>
      </c>
      <c r="W32" t="s">
        <v>89</v>
      </c>
      <c r="X32" t="s">
        <v>89</v>
      </c>
      <c r="Z32">
        <v>3990</v>
      </c>
      <c r="AA32">
        <v>5</v>
      </c>
      <c r="AB32">
        <v>4</v>
      </c>
      <c r="AC32">
        <v>50</v>
      </c>
      <c r="AD32">
        <v>1</v>
      </c>
      <c r="AE32">
        <v>30</v>
      </c>
      <c r="AF32">
        <v>10</v>
      </c>
      <c r="AG32">
        <v>199.5</v>
      </c>
      <c r="AH32">
        <v>159.6</v>
      </c>
      <c r="AI32">
        <v>1995</v>
      </c>
      <c r="AJ32">
        <v>39.9</v>
      </c>
      <c r="AK32">
        <v>1197</v>
      </c>
      <c r="AL32">
        <v>399</v>
      </c>
      <c r="AM32" s="18" t="s">
        <v>76</v>
      </c>
      <c r="AO32" t="s">
        <v>64</v>
      </c>
      <c r="AP32" s="11"/>
      <c r="AQ32" s="11"/>
      <c r="AR32" s="11"/>
      <c r="AS32" s="11"/>
      <c r="AT32" s="11"/>
      <c r="AU32" s="11"/>
      <c r="AV32" s="11"/>
      <c r="AW32" s="11"/>
      <c r="AX32" s="11"/>
      <c r="AY32" s="11"/>
      <c r="AZ32" s="11" t="s">
        <v>77</v>
      </c>
      <c r="BB32">
        <v>0</v>
      </c>
      <c r="BC32" t="s">
        <v>118</v>
      </c>
      <c r="BD32" s="22"/>
      <c r="BE32" s="22"/>
      <c r="BF32" s="22"/>
      <c r="BG32" s="22"/>
      <c r="BH32" s="22"/>
      <c r="BI32" s="22"/>
      <c r="BJ32" s="22"/>
      <c r="BK32" s="22" t="s">
        <v>77</v>
      </c>
      <c r="BL32" t="s">
        <v>63</v>
      </c>
      <c r="BN32" s="22" t="s">
        <v>77</v>
      </c>
      <c r="BO32" s="22"/>
      <c r="BX32" t="s">
        <v>77</v>
      </c>
      <c r="BY32" t="s">
        <v>90</v>
      </c>
      <c r="CA32" t="s">
        <v>76</v>
      </c>
      <c r="CC32" t="s">
        <v>77</v>
      </c>
      <c r="CE32" t="s">
        <v>77</v>
      </c>
    </row>
    <row r="33" spans="1:83" x14ac:dyDescent="0.25">
      <c r="A33">
        <v>1767</v>
      </c>
      <c r="B33" t="s">
        <v>58</v>
      </c>
      <c r="C33" t="s">
        <v>17</v>
      </c>
      <c r="D33" t="s">
        <v>212</v>
      </c>
      <c r="E33">
        <v>48571</v>
      </c>
      <c r="F33">
        <v>65785</v>
      </c>
      <c r="G33" t="s">
        <v>65</v>
      </c>
      <c r="H33">
        <f t="shared" si="0"/>
        <v>65785</v>
      </c>
      <c r="I33">
        <v>10.336702895796915</v>
      </c>
      <c r="J33">
        <v>89.663297104203082</v>
      </c>
      <c r="K33">
        <v>0</v>
      </c>
      <c r="L33">
        <v>0</v>
      </c>
      <c r="M33">
        <v>6800</v>
      </c>
      <c r="N33">
        <v>58985</v>
      </c>
      <c r="O33">
        <v>0</v>
      </c>
      <c r="P33">
        <v>0</v>
      </c>
      <c r="Q33" t="s">
        <v>76</v>
      </c>
      <c r="S33">
        <v>38.5</v>
      </c>
      <c r="V33" t="s">
        <v>76</v>
      </c>
      <c r="W33" t="s">
        <v>89</v>
      </c>
      <c r="X33" t="s">
        <v>89</v>
      </c>
      <c r="Z33">
        <v>6800</v>
      </c>
      <c r="AA33">
        <v>0</v>
      </c>
      <c r="AB33">
        <v>0</v>
      </c>
      <c r="AC33">
        <v>9.8790085751204035</v>
      </c>
      <c r="AD33">
        <v>0</v>
      </c>
      <c r="AE33">
        <v>69.575942675907427</v>
      </c>
      <c r="AF33">
        <v>20.54504874897216</v>
      </c>
      <c r="AG33">
        <v>0</v>
      </c>
      <c r="AH33">
        <v>0</v>
      </c>
      <c r="AI33">
        <v>671.7725831081874</v>
      </c>
      <c r="AJ33">
        <v>0</v>
      </c>
      <c r="AK33">
        <v>4731.1641019617055</v>
      </c>
      <c r="AL33">
        <v>1397.0633149301068</v>
      </c>
      <c r="AM33" s="18" t="s">
        <v>76</v>
      </c>
      <c r="AN33" t="s">
        <v>64</v>
      </c>
      <c r="AO33" t="s">
        <v>63</v>
      </c>
      <c r="AP33" s="11"/>
      <c r="AQ33" s="11"/>
      <c r="AR33" s="11"/>
      <c r="AS33" s="11"/>
      <c r="AT33" s="11"/>
      <c r="AU33" s="11"/>
      <c r="AV33" s="11"/>
      <c r="AW33" s="11"/>
      <c r="AX33" s="11"/>
      <c r="AY33" s="11"/>
      <c r="AZ33" s="11" t="s">
        <v>77</v>
      </c>
      <c r="BC33" t="s">
        <v>77</v>
      </c>
      <c r="BD33" s="22"/>
      <c r="BE33" s="22"/>
      <c r="BF33" s="22"/>
      <c r="BG33" s="22"/>
      <c r="BH33" s="22"/>
      <c r="BI33" s="22"/>
      <c r="BJ33" s="22"/>
      <c r="BK33" s="22" t="s">
        <v>77</v>
      </c>
      <c r="BL33" t="s">
        <v>77</v>
      </c>
      <c r="BN33" s="22" t="s">
        <v>77</v>
      </c>
      <c r="BO33" s="22"/>
      <c r="BX33" t="s">
        <v>77</v>
      </c>
      <c r="BY33" t="s">
        <v>90</v>
      </c>
      <c r="CA33" t="s">
        <v>76</v>
      </c>
      <c r="CC33" t="s">
        <v>77</v>
      </c>
      <c r="CE33" t="s">
        <v>77</v>
      </c>
    </row>
    <row r="34" spans="1:83" x14ac:dyDescent="0.25">
      <c r="A34">
        <v>1778</v>
      </c>
      <c r="B34" t="s">
        <v>58</v>
      </c>
      <c r="C34" t="s">
        <v>15</v>
      </c>
      <c r="D34" t="s">
        <v>212</v>
      </c>
      <c r="E34">
        <v>2390000</v>
      </c>
      <c r="F34">
        <v>808779</v>
      </c>
      <c r="G34" t="s">
        <v>65</v>
      </c>
      <c r="H34">
        <f t="shared" si="0"/>
        <v>808779</v>
      </c>
      <c r="I34">
        <v>0.37834810251008</v>
      </c>
      <c r="J34">
        <v>96.174480296842518</v>
      </c>
      <c r="K34">
        <v>2.5360450753543304</v>
      </c>
      <c r="L34">
        <v>0.91112652529306526</v>
      </c>
      <c r="M34">
        <v>3060</v>
      </c>
      <c r="N34">
        <v>777839</v>
      </c>
      <c r="O34">
        <v>20511</v>
      </c>
      <c r="P34">
        <v>7369</v>
      </c>
      <c r="Q34" t="s">
        <v>76</v>
      </c>
      <c r="S34">
        <v>36.840000000000003</v>
      </c>
      <c r="V34" t="s">
        <v>76</v>
      </c>
      <c r="W34" t="s">
        <v>89</v>
      </c>
      <c r="X34" t="s">
        <v>89</v>
      </c>
      <c r="Z34">
        <v>3060</v>
      </c>
      <c r="AA34">
        <v>0.37907078336597949</v>
      </c>
      <c r="AB34">
        <v>0</v>
      </c>
      <c r="AC34">
        <v>0</v>
      </c>
      <c r="AD34">
        <v>13.766610768992294</v>
      </c>
      <c r="AE34">
        <v>85.854318447641731</v>
      </c>
      <c r="AF34">
        <v>0</v>
      </c>
      <c r="AG34">
        <v>11.599565970998972</v>
      </c>
      <c r="AH34">
        <v>0</v>
      </c>
      <c r="AI34">
        <v>0</v>
      </c>
      <c r="AJ34">
        <v>421.25828953116422</v>
      </c>
      <c r="AK34">
        <v>2627.1421444978369</v>
      </c>
      <c r="AL34">
        <v>0</v>
      </c>
      <c r="AM34" s="18" t="s">
        <v>76</v>
      </c>
      <c r="AN34" t="s">
        <v>64</v>
      </c>
      <c r="AO34" t="s">
        <v>134</v>
      </c>
      <c r="AP34" s="11"/>
      <c r="AQ34" s="11"/>
      <c r="AR34" s="11"/>
      <c r="AS34" s="11"/>
      <c r="AT34" s="11"/>
      <c r="AU34" s="11"/>
      <c r="AV34" s="11"/>
      <c r="AW34" s="11"/>
      <c r="AX34" s="11"/>
      <c r="AY34" s="11"/>
      <c r="AZ34" s="11" t="s">
        <v>77</v>
      </c>
      <c r="BC34" t="s">
        <v>77</v>
      </c>
      <c r="BD34" s="22"/>
      <c r="BE34" s="22"/>
      <c r="BF34" s="22"/>
      <c r="BG34" s="22"/>
      <c r="BH34" s="22"/>
      <c r="BI34" s="22"/>
      <c r="BJ34" s="22"/>
      <c r="BK34" s="22" t="s">
        <v>77</v>
      </c>
      <c r="BL34" t="s">
        <v>77</v>
      </c>
      <c r="BN34" s="22" t="s">
        <v>77</v>
      </c>
      <c r="BO34" s="22"/>
      <c r="BX34" t="s">
        <v>77</v>
      </c>
      <c r="BY34" t="s">
        <v>90</v>
      </c>
      <c r="CA34" t="s">
        <v>76</v>
      </c>
      <c r="CC34" t="s">
        <v>77</v>
      </c>
      <c r="CE34" t="s">
        <v>77</v>
      </c>
    </row>
    <row r="35" spans="1:83" x14ac:dyDescent="0.25">
      <c r="A35">
        <v>1782</v>
      </c>
      <c r="B35" t="s">
        <v>58</v>
      </c>
      <c r="C35" t="s">
        <v>15</v>
      </c>
      <c r="D35" t="s">
        <v>212</v>
      </c>
      <c r="E35">
        <v>10000</v>
      </c>
      <c r="F35">
        <v>14655</v>
      </c>
      <c r="G35" t="s">
        <v>65</v>
      </c>
      <c r="H35">
        <f t="shared" si="0"/>
        <v>14655</v>
      </c>
      <c r="I35">
        <v>1</v>
      </c>
      <c r="J35">
        <v>94</v>
      </c>
      <c r="K35">
        <v>5</v>
      </c>
      <c r="L35">
        <v>0</v>
      </c>
      <c r="M35">
        <v>146.55000000000001</v>
      </c>
      <c r="N35">
        <v>13775.7</v>
      </c>
      <c r="O35">
        <v>732.75</v>
      </c>
      <c r="P35">
        <v>0</v>
      </c>
      <c r="Q35" t="s">
        <v>76</v>
      </c>
      <c r="S35">
        <v>15</v>
      </c>
      <c r="T35">
        <v>15</v>
      </c>
      <c r="U35">
        <v>15</v>
      </c>
      <c r="V35" t="s">
        <v>76</v>
      </c>
      <c r="W35" t="s">
        <v>89</v>
      </c>
      <c r="X35" t="s">
        <v>90</v>
      </c>
      <c r="Y35" t="s">
        <v>104</v>
      </c>
      <c r="Z35">
        <v>146.55000000000001</v>
      </c>
      <c r="AA35">
        <v>10</v>
      </c>
      <c r="AB35">
        <v>1</v>
      </c>
      <c r="AC35">
        <v>1</v>
      </c>
      <c r="AD35">
        <v>0</v>
      </c>
      <c r="AE35">
        <v>88</v>
      </c>
      <c r="AF35">
        <v>0</v>
      </c>
      <c r="AG35">
        <v>14.655000000000001</v>
      </c>
      <c r="AH35">
        <v>1.4655000000000002</v>
      </c>
      <c r="AI35">
        <v>1.4655000000000002</v>
      </c>
      <c r="AJ35">
        <v>0</v>
      </c>
      <c r="AK35">
        <v>128.96400000000003</v>
      </c>
      <c r="AL35">
        <v>0</v>
      </c>
      <c r="AM35" s="18" t="s">
        <v>76</v>
      </c>
      <c r="AO35" t="s">
        <v>64</v>
      </c>
      <c r="AP35">
        <v>10</v>
      </c>
      <c r="AQ35">
        <v>1</v>
      </c>
      <c r="AR35">
        <v>1</v>
      </c>
      <c r="AS35">
        <v>88</v>
      </c>
      <c r="AT35">
        <v>0</v>
      </c>
      <c r="AU35">
        <v>73.275000000000006</v>
      </c>
      <c r="AV35">
        <v>7.3275000000000006</v>
      </c>
      <c r="AW35">
        <v>7.3275000000000006</v>
      </c>
      <c r="AX35">
        <v>644.82000000000005</v>
      </c>
      <c r="AY35">
        <v>0</v>
      </c>
      <c r="AZ35" t="s">
        <v>76</v>
      </c>
      <c r="BB35">
        <v>640.34</v>
      </c>
      <c r="BC35" t="s">
        <v>76</v>
      </c>
      <c r="BD35" s="22"/>
      <c r="BE35" s="22"/>
      <c r="BF35" s="22"/>
      <c r="BG35" s="22"/>
      <c r="BH35" s="22"/>
      <c r="BI35" s="22"/>
      <c r="BJ35" s="22"/>
      <c r="BK35" s="22" t="s">
        <v>77</v>
      </c>
      <c r="BL35" t="s">
        <v>63</v>
      </c>
      <c r="BN35" s="22" t="s">
        <v>77</v>
      </c>
      <c r="BO35" s="22"/>
      <c r="BX35" t="s">
        <v>77</v>
      </c>
      <c r="BY35" t="s">
        <v>90</v>
      </c>
      <c r="CA35" t="s">
        <v>76</v>
      </c>
      <c r="CC35" t="s">
        <v>77</v>
      </c>
      <c r="CE35" t="s">
        <v>77</v>
      </c>
    </row>
    <row r="36" spans="1:83" x14ac:dyDescent="0.25">
      <c r="A36">
        <v>1784</v>
      </c>
      <c r="B36" t="s">
        <v>58</v>
      </c>
      <c r="C36" t="s">
        <v>15</v>
      </c>
      <c r="D36" t="s">
        <v>212</v>
      </c>
      <c r="E36">
        <v>3734</v>
      </c>
      <c r="F36">
        <f>SUM(M36:P36)</f>
        <v>3896.98</v>
      </c>
      <c r="G36" t="s">
        <v>65</v>
      </c>
      <c r="H36">
        <f t="shared" si="0"/>
        <v>3896.98</v>
      </c>
      <c r="I36">
        <f>(M36/$F36)*100</f>
        <v>6.2235372006014913</v>
      </c>
      <c r="J36">
        <f t="shared" ref="J36:L36" si="2">(N36/$F36)*100</f>
        <v>80.431770242598105</v>
      </c>
      <c r="K36">
        <f t="shared" si="2"/>
        <v>0</v>
      </c>
      <c r="L36">
        <f t="shared" si="2"/>
        <v>13.344692556800394</v>
      </c>
      <c r="M36">
        <v>242.53</v>
      </c>
      <c r="N36">
        <v>3134.41</v>
      </c>
      <c r="O36">
        <v>0</v>
      </c>
      <c r="P36">
        <v>520.04</v>
      </c>
      <c r="Q36" t="s">
        <v>76</v>
      </c>
      <c r="S36">
        <v>45</v>
      </c>
      <c r="V36" t="s">
        <v>76</v>
      </c>
      <c r="W36" t="s">
        <v>89</v>
      </c>
      <c r="X36" t="s">
        <v>89</v>
      </c>
      <c r="Z36">
        <v>242.53</v>
      </c>
      <c r="AA36">
        <v>0</v>
      </c>
      <c r="AB36">
        <v>0</v>
      </c>
      <c r="AC36">
        <v>26.284145409049835</v>
      </c>
      <c r="AD36">
        <v>0</v>
      </c>
      <c r="AE36">
        <v>57.704872454299014</v>
      </c>
      <c r="AF36">
        <v>16.01098213665114</v>
      </c>
      <c r="AG36">
        <v>0</v>
      </c>
      <c r="AH36">
        <v>0</v>
      </c>
      <c r="AI36">
        <v>63.746937860568558</v>
      </c>
      <c r="AJ36">
        <v>0</v>
      </c>
      <c r="AK36">
        <v>139.95162716341139</v>
      </c>
      <c r="AL36">
        <v>38.831434976020013</v>
      </c>
      <c r="AM36" s="18" t="s">
        <v>76</v>
      </c>
      <c r="AN36" t="s">
        <v>64</v>
      </c>
      <c r="AO36" t="s">
        <v>63</v>
      </c>
      <c r="AP36" s="11"/>
      <c r="AQ36" s="11"/>
      <c r="AR36" s="11"/>
      <c r="AS36" s="11"/>
      <c r="AT36" s="11"/>
      <c r="AU36" s="11"/>
      <c r="AV36" s="11"/>
      <c r="AW36" s="11"/>
      <c r="AX36" s="11"/>
      <c r="AY36" s="11"/>
      <c r="AZ36" s="11" t="s">
        <v>77</v>
      </c>
      <c r="BC36" t="s">
        <v>77</v>
      </c>
      <c r="BD36" s="22"/>
      <c r="BE36" s="22"/>
      <c r="BF36" s="22"/>
      <c r="BG36" s="22"/>
      <c r="BH36" s="22"/>
      <c r="BI36" s="22"/>
      <c r="BJ36" s="22"/>
      <c r="BK36" s="22" t="s">
        <v>77</v>
      </c>
      <c r="BL36" t="s">
        <v>77</v>
      </c>
      <c r="BN36" s="22" t="s">
        <v>77</v>
      </c>
      <c r="BO36" s="22"/>
      <c r="BX36" t="s">
        <v>77</v>
      </c>
      <c r="BY36" t="s">
        <v>90</v>
      </c>
      <c r="CA36" t="s">
        <v>76</v>
      </c>
      <c r="CC36" t="s">
        <v>77</v>
      </c>
      <c r="CE36" t="s">
        <v>77</v>
      </c>
    </row>
    <row r="37" spans="1:83" x14ac:dyDescent="0.25">
      <c r="A37">
        <v>1797</v>
      </c>
      <c r="B37" t="s">
        <v>58</v>
      </c>
      <c r="C37" t="s">
        <v>15</v>
      </c>
      <c r="D37" t="s">
        <v>212</v>
      </c>
      <c r="E37">
        <v>180191</v>
      </c>
      <c r="F37">
        <v>4157</v>
      </c>
      <c r="G37" t="s">
        <v>65</v>
      </c>
      <c r="H37">
        <f t="shared" si="0"/>
        <v>4157</v>
      </c>
      <c r="I37">
        <v>20</v>
      </c>
      <c r="J37">
        <v>80</v>
      </c>
      <c r="K37">
        <v>0</v>
      </c>
      <c r="L37">
        <v>0</v>
      </c>
      <c r="M37">
        <v>831.4</v>
      </c>
      <c r="N37">
        <v>3325.6</v>
      </c>
      <c r="O37">
        <v>0</v>
      </c>
      <c r="P37">
        <v>0</v>
      </c>
      <c r="Q37" t="s">
        <v>76</v>
      </c>
      <c r="S37">
        <v>198</v>
      </c>
      <c r="V37" t="s">
        <v>76</v>
      </c>
      <c r="W37" t="s">
        <v>64</v>
      </c>
      <c r="X37" t="s">
        <v>77</v>
      </c>
      <c r="AA37" s="11"/>
      <c r="AB37" s="11"/>
      <c r="AC37" s="11"/>
      <c r="AD37" s="11"/>
      <c r="AE37" s="11"/>
      <c r="AF37" s="11"/>
      <c r="AG37" s="11"/>
      <c r="AH37" s="11"/>
      <c r="AI37" s="11"/>
      <c r="AJ37" s="11"/>
      <c r="AK37" s="11"/>
      <c r="AL37" s="11"/>
      <c r="AM37" s="11" t="s">
        <v>77</v>
      </c>
      <c r="AO37" t="s">
        <v>63</v>
      </c>
      <c r="AP37" s="11"/>
      <c r="AQ37" s="11"/>
      <c r="AR37" s="11"/>
      <c r="AS37" s="11"/>
      <c r="AT37" s="11"/>
      <c r="AU37" s="11"/>
      <c r="AV37" s="11"/>
      <c r="AW37" s="11"/>
      <c r="AX37" s="11"/>
      <c r="AY37" s="11"/>
      <c r="AZ37" s="11" t="s">
        <v>77</v>
      </c>
      <c r="BC37" t="s">
        <v>77</v>
      </c>
      <c r="BD37" s="22"/>
      <c r="BE37" s="22"/>
      <c r="BF37" s="22"/>
      <c r="BG37" s="22"/>
      <c r="BH37" s="22"/>
      <c r="BI37" s="22"/>
      <c r="BJ37" s="22"/>
      <c r="BK37" s="22" t="s">
        <v>77</v>
      </c>
      <c r="BL37" t="s">
        <v>77</v>
      </c>
      <c r="BN37" s="22" t="s">
        <v>77</v>
      </c>
      <c r="BO37" s="22"/>
      <c r="BX37" t="s">
        <v>77</v>
      </c>
      <c r="BY37" t="s">
        <v>90</v>
      </c>
      <c r="CA37" t="s">
        <v>76</v>
      </c>
      <c r="CC37" t="s">
        <v>77</v>
      </c>
      <c r="CE37" t="s">
        <v>77</v>
      </c>
    </row>
    <row r="38" spans="1:83" x14ac:dyDescent="0.25">
      <c r="A38">
        <v>1798</v>
      </c>
      <c r="B38" t="s">
        <v>58</v>
      </c>
      <c r="C38" t="s">
        <v>15</v>
      </c>
      <c r="D38" t="s">
        <v>212</v>
      </c>
      <c r="E38">
        <v>1000</v>
      </c>
      <c r="F38">
        <v>1043</v>
      </c>
      <c r="G38" t="s">
        <v>65</v>
      </c>
      <c r="H38">
        <f t="shared" si="0"/>
        <v>1043</v>
      </c>
      <c r="I38">
        <v>10</v>
      </c>
      <c r="J38">
        <v>90</v>
      </c>
      <c r="K38">
        <v>0</v>
      </c>
      <c r="L38">
        <v>0</v>
      </c>
      <c r="M38">
        <v>104.3</v>
      </c>
      <c r="N38">
        <v>938.7</v>
      </c>
      <c r="O38">
        <v>0</v>
      </c>
      <c r="P38">
        <v>0</v>
      </c>
      <c r="Q38" t="s">
        <v>76</v>
      </c>
      <c r="S38">
        <v>15</v>
      </c>
      <c r="V38" t="s">
        <v>76</v>
      </c>
      <c r="W38" t="s">
        <v>89</v>
      </c>
      <c r="X38" t="s">
        <v>89</v>
      </c>
      <c r="Z38">
        <v>104.3</v>
      </c>
      <c r="AA38">
        <v>3</v>
      </c>
      <c r="AB38">
        <v>2</v>
      </c>
      <c r="AC38">
        <v>20</v>
      </c>
      <c r="AD38">
        <v>0</v>
      </c>
      <c r="AE38">
        <v>75</v>
      </c>
      <c r="AF38">
        <v>0</v>
      </c>
      <c r="AG38">
        <v>3.129</v>
      </c>
      <c r="AH38">
        <v>2.0859999999999999</v>
      </c>
      <c r="AI38">
        <v>20.86</v>
      </c>
      <c r="AJ38">
        <v>0</v>
      </c>
      <c r="AK38">
        <v>78.225000000000009</v>
      </c>
      <c r="AL38">
        <v>0</v>
      </c>
      <c r="AM38" s="18" t="s">
        <v>76</v>
      </c>
      <c r="AO38" t="s">
        <v>63</v>
      </c>
      <c r="AP38" s="11"/>
      <c r="AQ38" s="11"/>
      <c r="AR38" s="11"/>
      <c r="AS38" s="11"/>
      <c r="AT38" s="11"/>
      <c r="AU38" s="11"/>
      <c r="AV38" s="11"/>
      <c r="AW38" s="11"/>
      <c r="AX38" s="11"/>
      <c r="AY38" s="11"/>
      <c r="AZ38" s="11" t="s">
        <v>77</v>
      </c>
      <c r="BC38" t="s">
        <v>77</v>
      </c>
      <c r="BD38" s="22"/>
      <c r="BE38" s="22"/>
      <c r="BF38" s="22"/>
      <c r="BG38" s="22"/>
      <c r="BH38" s="22"/>
      <c r="BI38" s="22"/>
      <c r="BJ38" s="22"/>
      <c r="BK38" s="22" t="s">
        <v>77</v>
      </c>
      <c r="BL38" t="s">
        <v>77</v>
      </c>
      <c r="BN38" s="22" t="s">
        <v>77</v>
      </c>
      <c r="BO38" s="22"/>
      <c r="BX38" t="s">
        <v>77</v>
      </c>
      <c r="BY38" t="s">
        <v>90</v>
      </c>
      <c r="CA38" t="s">
        <v>76</v>
      </c>
      <c r="CC38" t="s">
        <v>77</v>
      </c>
      <c r="CE38" t="s">
        <v>77</v>
      </c>
    </row>
    <row r="39" spans="1:83" x14ac:dyDescent="0.25">
      <c r="A39">
        <v>1801</v>
      </c>
      <c r="B39" t="s">
        <v>58</v>
      </c>
      <c r="C39" t="s">
        <v>15</v>
      </c>
      <c r="D39" t="s">
        <v>212</v>
      </c>
      <c r="E39">
        <v>2390000</v>
      </c>
      <c r="F39">
        <f>SUM(M39:P39)</f>
        <v>533078</v>
      </c>
      <c r="G39" t="s">
        <v>65</v>
      </c>
      <c r="H39">
        <f t="shared" si="0"/>
        <v>533078</v>
      </c>
      <c r="I39">
        <f>(M39/$F39)*100</f>
        <v>0.90343251831814486</v>
      </c>
      <c r="J39">
        <f t="shared" ref="J39:L39" si="3">(N39/$F39)*100</f>
        <v>95.730643545597459</v>
      </c>
      <c r="K39">
        <f t="shared" si="3"/>
        <v>1.7252634698862079</v>
      </c>
      <c r="L39">
        <f t="shared" si="3"/>
        <v>1.6406604661981923</v>
      </c>
      <c r="M39">
        <v>4816</v>
      </c>
      <c r="N39">
        <v>510319</v>
      </c>
      <c r="O39">
        <v>9197</v>
      </c>
      <c r="P39">
        <v>8746</v>
      </c>
      <c r="Q39" t="s">
        <v>76</v>
      </c>
      <c r="S39">
        <v>36.840000000000003</v>
      </c>
      <c r="V39" t="s">
        <v>76</v>
      </c>
      <c r="W39" t="s">
        <v>89</v>
      </c>
      <c r="X39" t="s">
        <v>89</v>
      </c>
      <c r="Z39">
        <v>4816</v>
      </c>
      <c r="AA39">
        <v>0.27478100877571804</v>
      </c>
      <c r="AB39">
        <v>0</v>
      </c>
      <c r="AC39">
        <v>0.11168000064276258</v>
      </c>
      <c r="AD39">
        <v>3.2650331123167375</v>
      </c>
      <c r="AE39">
        <v>96.348505878264774</v>
      </c>
      <c r="AF39">
        <v>0</v>
      </c>
      <c r="AG39">
        <v>13.233453382638581</v>
      </c>
      <c r="AH39">
        <v>0</v>
      </c>
      <c r="AI39">
        <v>5.3785088309554467</v>
      </c>
      <c r="AJ39">
        <v>157.24399468917409</v>
      </c>
      <c r="AK39">
        <v>4640.1440430972316</v>
      </c>
      <c r="AL39">
        <v>0</v>
      </c>
      <c r="AM39" s="18" t="s">
        <v>76</v>
      </c>
      <c r="AN39" t="s">
        <v>64</v>
      </c>
      <c r="AO39" t="s">
        <v>134</v>
      </c>
      <c r="AP39" s="11"/>
      <c r="AQ39" s="11"/>
      <c r="AR39" s="11"/>
      <c r="AS39" s="11"/>
      <c r="AT39" s="11"/>
      <c r="AU39" s="11"/>
      <c r="AV39" s="11"/>
      <c r="AW39" s="11"/>
      <c r="AX39" s="11"/>
      <c r="AY39" s="11"/>
      <c r="AZ39" s="11" t="s">
        <v>77</v>
      </c>
      <c r="BC39" t="s">
        <v>77</v>
      </c>
      <c r="BD39" s="22"/>
      <c r="BE39" s="22"/>
      <c r="BF39" s="22"/>
      <c r="BG39" s="22"/>
      <c r="BH39" s="22"/>
      <c r="BI39" s="22"/>
      <c r="BJ39" s="22"/>
      <c r="BK39" s="22" t="s">
        <v>77</v>
      </c>
      <c r="BL39" t="s">
        <v>77</v>
      </c>
      <c r="BN39" s="22" t="s">
        <v>77</v>
      </c>
      <c r="BO39" s="22"/>
      <c r="BX39" t="s">
        <v>77</v>
      </c>
      <c r="BY39" t="s">
        <v>90</v>
      </c>
      <c r="CA39" t="s">
        <v>76</v>
      </c>
      <c r="CC39" t="s">
        <v>77</v>
      </c>
      <c r="CE39" t="s">
        <v>77</v>
      </c>
    </row>
    <row r="40" spans="1:83" x14ac:dyDescent="0.25">
      <c r="A40">
        <v>1803</v>
      </c>
      <c r="B40" t="s">
        <v>58</v>
      </c>
      <c r="C40" t="s">
        <v>15</v>
      </c>
      <c r="D40" t="s">
        <v>212</v>
      </c>
      <c r="E40">
        <v>3000</v>
      </c>
      <c r="F40">
        <v>4349</v>
      </c>
      <c r="G40" t="s">
        <v>65</v>
      </c>
      <c r="H40">
        <f t="shared" si="0"/>
        <v>4349</v>
      </c>
      <c r="I40">
        <v>20</v>
      </c>
      <c r="J40">
        <v>80</v>
      </c>
      <c r="K40">
        <v>0</v>
      </c>
      <c r="L40">
        <v>0</v>
      </c>
      <c r="M40">
        <v>869.80000000000007</v>
      </c>
      <c r="N40">
        <v>3479.2000000000003</v>
      </c>
      <c r="O40">
        <v>0</v>
      </c>
      <c r="P40">
        <v>0</v>
      </c>
      <c r="Q40" t="s">
        <v>76</v>
      </c>
      <c r="S40">
        <v>15</v>
      </c>
      <c r="V40" t="s">
        <v>76</v>
      </c>
      <c r="W40" t="s">
        <v>89</v>
      </c>
      <c r="X40" t="s">
        <v>89</v>
      </c>
      <c r="Z40">
        <v>869.80000000000007</v>
      </c>
      <c r="AA40">
        <v>5</v>
      </c>
      <c r="AB40">
        <v>3</v>
      </c>
      <c r="AC40">
        <v>42</v>
      </c>
      <c r="AD40">
        <v>0</v>
      </c>
      <c r="AE40">
        <v>50</v>
      </c>
      <c r="AF40">
        <v>0</v>
      </c>
      <c r="AG40">
        <v>43.49</v>
      </c>
      <c r="AH40">
        <v>26.094000000000001</v>
      </c>
      <c r="AI40">
        <v>365.31600000000009</v>
      </c>
      <c r="AJ40">
        <v>0</v>
      </c>
      <c r="AK40">
        <v>434.90000000000003</v>
      </c>
      <c r="AL40">
        <v>0</v>
      </c>
      <c r="AM40" s="18" t="s">
        <v>76</v>
      </c>
      <c r="AO40" t="s">
        <v>63</v>
      </c>
      <c r="AP40" s="11"/>
      <c r="AQ40" s="11"/>
      <c r="AR40" s="11"/>
      <c r="AS40" s="11"/>
      <c r="AT40" s="11"/>
      <c r="AU40" s="11"/>
      <c r="AV40" s="11"/>
      <c r="AW40" s="11"/>
      <c r="AX40" s="11"/>
      <c r="AY40" s="11"/>
      <c r="AZ40" s="11" t="s">
        <v>77</v>
      </c>
      <c r="BA40" t="s">
        <v>64</v>
      </c>
      <c r="BC40" t="s">
        <v>77</v>
      </c>
      <c r="BD40" s="22"/>
      <c r="BE40" s="22"/>
      <c r="BF40" s="22"/>
      <c r="BG40" s="22"/>
      <c r="BH40" s="22"/>
      <c r="BI40" s="22"/>
      <c r="BJ40" s="22"/>
      <c r="BK40" s="22" t="s">
        <v>77</v>
      </c>
      <c r="BL40" t="s">
        <v>77</v>
      </c>
      <c r="BN40" s="22" t="s">
        <v>77</v>
      </c>
      <c r="BO40" s="22"/>
      <c r="BX40" t="s">
        <v>77</v>
      </c>
      <c r="BY40" t="s">
        <v>90</v>
      </c>
      <c r="CA40" t="s">
        <v>76</v>
      </c>
      <c r="CC40" t="s">
        <v>77</v>
      </c>
      <c r="CE40" t="s">
        <v>77</v>
      </c>
    </row>
    <row r="41" spans="1:83" x14ac:dyDescent="0.25">
      <c r="A41">
        <v>1805</v>
      </c>
      <c r="B41" t="s">
        <v>59</v>
      </c>
      <c r="C41" t="s">
        <v>15</v>
      </c>
      <c r="D41" t="s">
        <v>212</v>
      </c>
      <c r="E41">
        <v>18000</v>
      </c>
      <c r="F41">
        <v>17762</v>
      </c>
      <c r="G41" t="s">
        <v>65</v>
      </c>
      <c r="H41">
        <f t="shared" si="0"/>
        <v>17762</v>
      </c>
      <c r="I41">
        <v>10.308117819840909</v>
      </c>
      <c r="J41">
        <v>52.364373737298429</v>
      </c>
      <c r="K41">
        <v>9.5499377502106046</v>
      </c>
      <c r="L41">
        <v>27.777570692650048</v>
      </c>
      <c r="M41">
        <v>1830.9278871601425</v>
      </c>
      <c r="N41">
        <v>9300.9600632189467</v>
      </c>
      <c r="O41">
        <v>1696.2599431924077</v>
      </c>
      <c r="P41">
        <v>4933.8521064285014</v>
      </c>
      <c r="Q41" t="s">
        <v>76</v>
      </c>
      <c r="R41" t="s">
        <v>64</v>
      </c>
      <c r="S41">
        <v>121</v>
      </c>
      <c r="T41">
        <v>55</v>
      </c>
      <c r="U41" s="19">
        <v>121</v>
      </c>
      <c r="V41" t="s">
        <v>76</v>
      </c>
      <c r="W41" t="s">
        <v>89</v>
      </c>
      <c r="X41" t="s">
        <v>89</v>
      </c>
      <c r="Z41">
        <v>1830.9278871601425</v>
      </c>
      <c r="AA41">
        <v>7.1428571428571423</v>
      </c>
      <c r="AB41">
        <v>7.1428571428571423</v>
      </c>
      <c r="AC41">
        <v>14.285714285714285</v>
      </c>
      <c r="AD41">
        <v>0</v>
      </c>
      <c r="AE41">
        <v>0</v>
      </c>
      <c r="AF41">
        <v>71.428571428571416</v>
      </c>
      <c r="AG41">
        <v>130.7805633685816</v>
      </c>
      <c r="AH41">
        <v>130.7805633685816</v>
      </c>
      <c r="AI41">
        <v>261.56112673716319</v>
      </c>
      <c r="AJ41">
        <v>0</v>
      </c>
      <c r="AK41">
        <v>0</v>
      </c>
      <c r="AL41">
        <v>1307.8056336858158</v>
      </c>
      <c r="AM41" s="18" t="s">
        <v>76</v>
      </c>
      <c r="AN41" t="s">
        <v>64</v>
      </c>
      <c r="AO41" t="s">
        <v>64</v>
      </c>
      <c r="AP41">
        <v>25.352112676056336</v>
      </c>
      <c r="AQ41">
        <v>25.352112676056336</v>
      </c>
      <c r="AR41">
        <v>21.12676056338028</v>
      </c>
      <c r="AS41">
        <v>28.169014084507044</v>
      </c>
      <c r="AT41">
        <v>0</v>
      </c>
      <c r="AU41">
        <v>430.03773207694837</v>
      </c>
      <c r="AV41">
        <v>430.03773207694837</v>
      </c>
      <c r="AW41">
        <v>358.36477673079031</v>
      </c>
      <c r="AX41">
        <v>477.81970230772049</v>
      </c>
      <c r="AY41">
        <v>0</v>
      </c>
      <c r="AZ41" t="s">
        <v>76</v>
      </c>
      <c r="BA41" t="s">
        <v>64</v>
      </c>
      <c r="BB41">
        <v>3090</v>
      </c>
      <c r="BC41" t="s">
        <v>76</v>
      </c>
      <c r="BD41" s="22"/>
      <c r="BE41" s="22"/>
      <c r="BF41" s="22"/>
      <c r="BG41" s="22"/>
      <c r="BH41" s="22"/>
      <c r="BI41" s="22"/>
      <c r="BJ41" s="22" t="s">
        <v>64</v>
      </c>
      <c r="BK41" s="22" t="s">
        <v>76</v>
      </c>
      <c r="BL41" t="s">
        <v>64</v>
      </c>
      <c r="BN41" s="22" t="s">
        <v>77</v>
      </c>
      <c r="BO41" s="22">
        <v>0</v>
      </c>
      <c r="BW41" t="s">
        <v>64</v>
      </c>
      <c r="BX41" t="s">
        <v>76</v>
      </c>
      <c r="BY41" t="s">
        <v>90</v>
      </c>
      <c r="CA41" t="s">
        <v>76</v>
      </c>
      <c r="CC41" t="s">
        <v>77</v>
      </c>
      <c r="CE41" t="s">
        <v>77</v>
      </c>
    </row>
    <row r="42" spans="1:83" x14ac:dyDescent="0.25">
      <c r="A42">
        <v>1808</v>
      </c>
      <c r="B42" t="s">
        <v>58</v>
      </c>
      <c r="C42" t="s">
        <v>15</v>
      </c>
      <c r="D42" t="s">
        <v>212</v>
      </c>
      <c r="E42">
        <v>15881</v>
      </c>
      <c r="F42">
        <v>16575</v>
      </c>
      <c r="G42" t="s">
        <v>65</v>
      </c>
      <c r="H42">
        <f t="shared" si="0"/>
        <v>16575</v>
      </c>
      <c r="I42">
        <v>0</v>
      </c>
      <c r="J42">
        <v>81.303534299264214</v>
      </c>
      <c r="K42">
        <v>11.366609864654199</v>
      </c>
      <c r="L42">
        <v>7.3298558360815775</v>
      </c>
      <c r="M42">
        <v>0</v>
      </c>
      <c r="N42">
        <v>13476.060810103045</v>
      </c>
      <c r="O42">
        <v>1884.0155850664335</v>
      </c>
      <c r="P42">
        <v>1214.9236048305215</v>
      </c>
      <c r="Q42" t="s">
        <v>76</v>
      </c>
      <c r="R42" t="s">
        <v>64</v>
      </c>
      <c r="S42">
        <v>45</v>
      </c>
      <c r="V42" t="s">
        <v>76</v>
      </c>
      <c r="W42" t="s">
        <v>90</v>
      </c>
      <c r="X42" t="s">
        <v>77</v>
      </c>
      <c r="Z42">
        <v>0</v>
      </c>
      <c r="AA42" s="11"/>
      <c r="AB42" s="11"/>
      <c r="AC42" s="11"/>
      <c r="AD42" s="11"/>
      <c r="AE42" s="11"/>
      <c r="AF42" s="11"/>
      <c r="AG42" s="11"/>
      <c r="AH42" s="11"/>
      <c r="AI42" s="11"/>
      <c r="AJ42" s="11"/>
      <c r="AK42" s="11"/>
      <c r="AL42" s="11"/>
      <c r="AM42" s="11" t="s">
        <v>77</v>
      </c>
      <c r="AO42" t="s">
        <v>64</v>
      </c>
      <c r="AP42">
        <v>0</v>
      </c>
      <c r="AQ42">
        <v>0</v>
      </c>
      <c r="AR42">
        <v>28.479424797900666</v>
      </c>
      <c r="AS42">
        <v>46.140167062374445</v>
      </c>
      <c r="AT42">
        <v>25.380408139724896</v>
      </c>
      <c r="AU42">
        <v>0</v>
      </c>
      <c r="AV42">
        <v>0</v>
      </c>
      <c r="AW42">
        <v>536.55680172972313</v>
      </c>
      <c r="AX42">
        <v>869.28793843082371</v>
      </c>
      <c r="AY42">
        <v>478.17084490588672</v>
      </c>
      <c r="AZ42" t="s">
        <v>76</v>
      </c>
      <c r="BB42">
        <v>1083</v>
      </c>
      <c r="BC42" t="s">
        <v>76</v>
      </c>
      <c r="BD42" s="22"/>
      <c r="BE42" s="22"/>
      <c r="BF42" s="22"/>
      <c r="BG42" s="22"/>
      <c r="BH42" s="22"/>
      <c r="BI42" s="22"/>
      <c r="BJ42" s="22" t="s">
        <v>64</v>
      </c>
      <c r="BK42" s="22" t="s">
        <v>76</v>
      </c>
      <c r="BL42" t="s">
        <v>63</v>
      </c>
      <c r="BN42" s="22" t="s">
        <v>77</v>
      </c>
      <c r="BO42" s="22"/>
      <c r="BX42" t="s">
        <v>77</v>
      </c>
      <c r="BY42" t="s">
        <v>90</v>
      </c>
      <c r="CA42" t="s">
        <v>76</v>
      </c>
      <c r="CC42" t="s">
        <v>77</v>
      </c>
      <c r="CE42" t="s">
        <v>77</v>
      </c>
    </row>
    <row r="43" spans="1:83" x14ac:dyDescent="0.25">
      <c r="A43">
        <v>1813</v>
      </c>
      <c r="B43" t="s">
        <v>59</v>
      </c>
      <c r="C43" t="s">
        <v>15</v>
      </c>
      <c r="D43" t="s">
        <v>212</v>
      </c>
      <c r="E43">
        <v>1000000</v>
      </c>
      <c r="F43">
        <v>455440</v>
      </c>
      <c r="G43" t="s">
        <v>65</v>
      </c>
      <c r="H43">
        <f t="shared" si="0"/>
        <v>455440.00000000006</v>
      </c>
      <c r="I43">
        <v>0.38952801714710644</v>
      </c>
      <c r="J43">
        <v>99.582257993963523</v>
      </c>
      <c r="K43">
        <v>0</v>
      </c>
      <c r="L43">
        <v>2.8213988889374916E-2</v>
      </c>
      <c r="M43">
        <v>1774.0664012947816</v>
      </c>
      <c r="N43">
        <v>453537.43580770749</v>
      </c>
      <c r="O43">
        <v>0</v>
      </c>
      <c r="P43">
        <v>128.49779099776913</v>
      </c>
      <c r="Q43" t="s">
        <v>76</v>
      </c>
      <c r="R43" t="s">
        <v>64</v>
      </c>
      <c r="S43">
        <v>33</v>
      </c>
      <c r="V43" t="s">
        <v>76</v>
      </c>
      <c r="W43" t="s">
        <v>89</v>
      </c>
      <c r="X43" t="s">
        <v>89</v>
      </c>
      <c r="Z43">
        <v>1774.0664012947816</v>
      </c>
      <c r="AA43">
        <v>0</v>
      </c>
      <c r="AB43">
        <v>0</v>
      </c>
      <c r="AC43">
        <v>0</v>
      </c>
      <c r="AD43">
        <v>68.781583380123521</v>
      </c>
      <c r="AE43">
        <v>31.218416619876471</v>
      </c>
      <c r="AF43">
        <v>0</v>
      </c>
      <c r="AG43">
        <v>0</v>
      </c>
      <c r="AH43">
        <v>0</v>
      </c>
      <c r="AI43">
        <v>0</v>
      </c>
      <c r="AJ43">
        <v>1220.2309610253269</v>
      </c>
      <c r="AK43">
        <v>553.83544026945447</v>
      </c>
      <c r="AL43">
        <v>0</v>
      </c>
      <c r="AM43" s="18" t="s">
        <v>76</v>
      </c>
      <c r="AO43" t="s">
        <v>64</v>
      </c>
      <c r="AP43" s="11"/>
      <c r="AQ43" s="11"/>
      <c r="AR43" s="11"/>
      <c r="AS43" s="11"/>
      <c r="AT43" s="11"/>
      <c r="AU43" s="11"/>
      <c r="AV43" s="11"/>
      <c r="AW43" s="11"/>
      <c r="AX43" s="11"/>
      <c r="AY43" s="11"/>
      <c r="AZ43" s="11" t="s">
        <v>77</v>
      </c>
      <c r="BA43" t="s">
        <v>64</v>
      </c>
      <c r="BB43">
        <v>0</v>
      </c>
      <c r="BC43" t="s">
        <v>118</v>
      </c>
      <c r="BD43" s="22"/>
      <c r="BE43" s="22"/>
      <c r="BF43" s="22"/>
      <c r="BG43" s="22"/>
      <c r="BH43" s="22"/>
      <c r="BI43" s="22"/>
      <c r="BJ43" s="22" t="s">
        <v>64</v>
      </c>
      <c r="BK43" s="22" t="s">
        <v>76</v>
      </c>
      <c r="BL43" t="s">
        <v>63</v>
      </c>
      <c r="BN43" s="22" t="s">
        <v>77</v>
      </c>
      <c r="BO43" s="22"/>
      <c r="BX43" t="s">
        <v>77</v>
      </c>
      <c r="BY43" t="s">
        <v>90</v>
      </c>
      <c r="CA43" t="s">
        <v>76</v>
      </c>
      <c r="CC43" t="s">
        <v>77</v>
      </c>
      <c r="CE43" t="s">
        <v>77</v>
      </c>
    </row>
    <row r="44" spans="1:83" x14ac:dyDescent="0.25">
      <c r="A44">
        <v>1815</v>
      </c>
      <c r="B44" t="s">
        <v>58</v>
      </c>
      <c r="C44" t="s">
        <v>15</v>
      </c>
      <c r="D44" t="s">
        <v>212</v>
      </c>
      <c r="E44">
        <v>67833</v>
      </c>
      <c r="F44">
        <v>70799</v>
      </c>
      <c r="G44" t="s">
        <v>65</v>
      </c>
      <c r="H44">
        <f t="shared" si="0"/>
        <v>70799.000000000015</v>
      </c>
      <c r="I44">
        <v>0</v>
      </c>
      <c r="J44">
        <v>72.300966807630147</v>
      </c>
      <c r="K44">
        <v>8.6611368295592577</v>
      </c>
      <c r="L44">
        <v>19.037896362810606</v>
      </c>
      <c r="M44">
        <v>0</v>
      </c>
      <c r="N44">
        <v>51188.36149013407</v>
      </c>
      <c r="O44">
        <v>6131.9982639596592</v>
      </c>
      <c r="P44">
        <v>13478.640245906283</v>
      </c>
      <c r="Q44" t="s">
        <v>76</v>
      </c>
      <c r="R44" t="s">
        <v>64</v>
      </c>
      <c r="S44">
        <v>45</v>
      </c>
      <c r="V44" t="s">
        <v>76</v>
      </c>
      <c r="W44" t="s">
        <v>90</v>
      </c>
      <c r="X44" t="s">
        <v>77</v>
      </c>
      <c r="Z44">
        <v>0</v>
      </c>
      <c r="AA44" s="11"/>
      <c r="AB44" s="11"/>
      <c r="AC44" s="11"/>
      <c r="AD44" s="11"/>
      <c r="AE44" s="11"/>
      <c r="AF44" s="11"/>
      <c r="AG44" s="11"/>
      <c r="AH44" s="11"/>
      <c r="AI44" s="11"/>
      <c r="AJ44" s="11"/>
      <c r="AK44" s="11"/>
      <c r="AL44" s="11"/>
      <c r="AM44" s="11" t="s">
        <v>77</v>
      </c>
      <c r="AO44" t="s">
        <v>64</v>
      </c>
      <c r="AP44">
        <v>2.0992327779914572</v>
      </c>
      <c r="AQ44">
        <v>0</v>
      </c>
      <c r="AR44">
        <v>5.595254964675398</v>
      </c>
      <c r="AS44">
        <v>56.047018495651059</v>
      </c>
      <c r="AT44">
        <v>36.258493761682089</v>
      </c>
      <c r="AU44">
        <v>128.72491750290828</v>
      </c>
      <c r="AV44">
        <v>0</v>
      </c>
      <c r="AW44">
        <v>343.10093729801207</v>
      </c>
      <c r="AX44">
        <v>3436.8022011544717</v>
      </c>
      <c r="AY44">
        <v>2223.3702080042672</v>
      </c>
      <c r="AZ44" t="s">
        <v>76</v>
      </c>
      <c r="BB44">
        <v>2876</v>
      </c>
      <c r="BC44" t="s">
        <v>76</v>
      </c>
      <c r="BD44" s="22"/>
      <c r="BE44" s="22"/>
      <c r="BF44" s="22"/>
      <c r="BG44" s="22"/>
      <c r="BH44" s="22"/>
      <c r="BI44" s="22"/>
      <c r="BJ44" s="22" t="s">
        <v>64</v>
      </c>
      <c r="BK44" s="22" t="s">
        <v>76</v>
      </c>
      <c r="BL44" t="s">
        <v>63</v>
      </c>
      <c r="BN44" s="22" t="s">
        <v>77</v>
      </c>
      <c r="BO44" s="22"/>
      <c r="BX44" t="s">
        <v>77</v>
      </c>
      <c r="BY44" t="s">
        <v>90</v>
      </c>
      <c r="CA44" t="s">
        <v>76</v>
      </c>
      <c r="CC44" t="s">
        <v>77</v>
      </c>
      <c r="CE44" t="s">
        <v>77</v>
      </c>
    </row>
    <row r="45" spans="1:83" x14ac:dyDescent="0.25">
      <c r="A45">
        <v>1816</v>
      </c>
      <c r="B45" t="s">
        <v>59</v>
      </c>
      <c r="C45" t="s">
        <v>15</v>
      </c>
      <c r="D45" t="s">
        <v>212</v>
      </c>
      <c r="E45">
        <v>50000</v>
      </c>
      <c r="F45">
        <v>35000</v>
      </c>
      <c r="G45" t="s">
        <v>65</v>
      </c>
      <c r="H45">
        <f t="shared" si="0"/>
        <v>35000</v>
      </c>
      <c r="I45">
        <v>5</v>
      </c>
      <c r="J45">
        <v>30</v>
      </c>
      <c r="K45">
        <v>20</v>
      </c>
      <c r="L45">
        <v>45</v>
      </c>
      <c r="M45">
        <v>1750</v>
      </c>
      <c r="N45">
        <v>10500</v>
      </c>
      <c r="O45">
        <v>7000</v>
      </c>
      <c r="P45">
        <v>15750</v>
      </c>
      <c r="Q45" t="s">
        <v>76</v>
      </c>
      <c r="S45">
        <v>8</v>
      </c>
      <c r="T45">
        <v>16</v>
      </c>
      <c r="U45">
        <v>16</v>
      </c>
      <c r="V45" t="s">
        <v>76</v>
      </c>
      <c r="W45" t="s">
        <v>89</v>
      </c>
      <c r="X45" t="s">
        <v>90</v>
      </c>
      <c r="Y45" t="s">
        <v>105</v>
      </c>
      <c r="Z45">
        <v>1750</v>
      </c>
      <c r="AA45">
        <v>5</v>
      </c>
      <c r="AB45">
        <v>10</v>
      </c>
      <c r="AC45">
        <v>25</v>
      </c>
      <c r="AD45">
        <v>5</v>
      </c>
      <c r="AE45">
        <v>50</v>
      </c>
      <c r="AF45">
        <v>5</v>
      </c>
      <c r="AG45">
        <v>87.5</v>
      </c>
      <c r="AH45">
        <v>175</v>
      </c>
      <c r="AI45">
        <v>437.5</v>
      </c>
      <c r="AJ45">
        <v>87.5</v>
      </c>
      <c r="AK45">
        <v>875</v>
      </c>
      <c r="AL45">
        <v>87.5</v>
      </c>
      <c r="AM45" s="18" t="s">
        <v>76</v>
      </c>
      <c r="AO45" t="s">
        <v>64</v>
      </c>
      <c r="AP45">
        <v>0</v>
      </c>
      <c r="AQ45">
        <v>0</v>
      </c>
      <c r="AR45">
        <v>0</v>
      </c>
      <c r="AS45">
        <v>100</v>
      </c>
      <c r="AT45">
        <v>0</v>
      </c>
      <c r="AU45">
        <v>0</v>
      </c>
      <c r="AV45">
        <v>0</v>
      </c>
      <c r="AW45">
        <v>0</v>
      </c>
      <c r="AX45">
        <v>7000</v>
      </c>
      <c r="AY45">
        <v>0</v>
      </c>
      <c r="AZ45" t="s">
        <v>76</v>
      </c>
      <c r="BA45" t="s">
        <v>64</v>
      </c>
      <c r="BB45">
        <v>5000</v>
      </c>
      <c r="BC45" t="s">
        <v>76</v>
      </c>
      <c r="BD45" s="22"/>
      <c r="BE45" s="22"/>
      <c r="BF45" s="22"/>
      <c r="BG45" s="22"/>
      <c r="BH45" s="22">
        <v>29</v>
      </c>
      <c r="BI45" s="22">
        <v>2750</v>
      </c>
      <c r="BJ45" s="22"/>
      <c r="BK45" s="22" t="s">
        <v>76</v>
      </c>
      <c r="BL45" t="s">
        <v>63</v>
      </c>
      <c r="BN45" s="22" t="s">
        <v>77</v>
      </c>
      <c r="BO45" s="22"/>
      <c r="BX45" t="s">
        <v>77</v>
      </c>
      <c r="BY45" t="s">
        <v>89</v>
      </c>
      <c r="BZ45">
        <v>2750</v>
      </c>
      <c r="CA45" t="s">
        <v>76</v>
      </c>
      <c r="CB45">
        <v>2750</v>
      </c>
      <c r="CC45" t="s">
        <v>76</v>
      </c>
      <c r="CD45">
        <v>100</v>
      </c>
      <c r="CE45" t="s">
        <v>76</v>
      </c>
    </row>
    <row r="46" spans="1:83" x14ac:dyDescent="0.25">
      <c r="A46">
        <v>1820</v>
      </c>
      <c r="B46" t="s">
        <v>58</v>
      </c>
      <c r="C46" t="s">
        <v>15</v>
      </c>
      <c r="D46" t="s">
        <v>212</v>
      </c>
      <c r="E46">
        <v>172543</v>
      </c>
      <c r="F46">
        <v>180088.9</v>
      </c>
      <c r="G46" t="s">
        <v>65</v>
      </c>
      <c r="H46">
        <f t="shared" si="0"/>
        <v>180088.9</v>
      </c>
      <c r="I46">
        <v>0</v>
      </c>
      <c r="J46">
        <v>83.163515352695256</v>
      </c>
      <c r="K46">
        <v>0.65116728460221596</v>
      </c>
      <c r="L46">
        <v>16.185317362702531</v>
      </c>
      <c r="M46">
        <v>0</v>
      </c>
      <c r="N46">
        <v>149768.26</v>
      </c>
      <c r="O46">
        <v>1172.68</v>
      </c>
      <c r="P46">
        <v>29147.959999999995</v>
      </c>
      <c r="Q46" t="s">
        <v>76</v>
      </c>
      <c r="S46">
        <v>45</v>
      </c>
      <c r="T46">
        <v>22.5</v>
      </c>
      <c r="U46">
        <v>22.5</v>
      </c>
      <c r="V46" t="s">
        <v>76</v>
      </c>
      <c r="W46" t="s">
        <v>90</v>
      </c>
      <c r="X46" t="s">
        <v>77</v>
      </c>
      <c r="Z46">
        <v>0</v>
      </c>
      <c r="AA46" s="11"/>
      <c r="AB46" s="11"/>
      <c r="AC46" s="11"/>
      <c r="AD46" s="11"/>
      <c r="AE46" s="11"/>
      <c r="AF46" s="11"/>
      <c r="AG46" s="11"/>
      <c r="AH46" s="11"/>
      <c r="AI46" s="11"/>
      <c r="AJ46" s="11"/>
      <c r="AK46" s="11"/>
      <c r="AL46" s="11"/>
      <c r="AM46" s="11" t="s">
        <v>77</v>
      </c>
      <c r="AO46" t="s">
        <v>64</v>
      </c>
      <c r="AP46">
        <v>0.10632702993163055</v>
      </c>
      <c r="AQ46">
        <v>0</v>
      </c>
      <c r="AR46">
        <v>23.881787716877923</v>
      </c>
      <c r="AS46">
        <v>75.206619969156264</v>
      </c>
      <c r="AT46">
        <v>0.80526528403417708</v>
      </c>
      <c r="AU46">
        <v>1.2468758146022452</v>
      </c>
      <c r="AV46">
        <v>0</v>
      </c>
      <c r="AW46">
        <v>280.05694819828403</v>
      </c>
      <c r="AX46">
        <v>881.93299105430174</v>
      </c>
      <c r="AY46">
        <v>9.4431849328119881</v>
      </c>
      <c r="AZ46" t="s">
        <v>76</v>
      </c>
      <c r="BB46">
        <v>859</v>
      </c>
      <c r="BC46" t="s">
        <v>76</v>
      </c>
      <c r="BD46" s="22"/>
      <c r="BE46" s="22"/>
      <c r="BF46" s="22"/>
      <c r="BG46" s="22"/>
      <c r="BH46" s="22"/>
      <c r="BI46" s="22"/>
      <c r="BJ46" s="22"/>
      <c r="BK46" s="22" t="s">
        <v>77</v>
      </c>
      <c r="BL46" t="s">
        <v>63</v>
      </c>
      <c r="BN46" s="22" t="s">
        <v>77</v>
      </c>
      <c r="BO46" s="22"/>
      <c r="BX46" t="s">
        <v>77</v>
      </c>
      <c r="BY46" t="s">
        <v>89</v>
      </c>
      <c r="BZ46">
        <v>3128.08</v>
      </c>
      <c r="CA46" t="s">
        <v>76</v>
      </c>
      <c r="CB46">
        <v>3128.08</v>
      </c>
      <c r="CC46" t="s">
        <v>76</v>
      </c>
      <c r="CD46">
        <v>100</v>
      </c>
      <c r="CE46" t="s">
        <v>76</v>
      </c>
    </row>
    <row r="47" spans="1:83" x14ac:dyDescent="0.25">
      <c r="A47">
        <v>1821</v>
      </c>
      <c r="B47" t="s">
        <v>58</v>
      </c>
      <c r="C47" t="s">
        <v>47</v>
      </c>
      <c r="D47" t="s">
        <v>212</v>
      </c>
      <c r="E47">
        <v>13000</v>
      </c>
      <c r="F47">
        <f>SUM(M47:P47)</f>
        <v>287347</v>
      </c>
      <c r="G47" t="s">
        <v>65</v>
      </c>
      <c r="H47">
        <f t="shared" si="0"/>
        <v>287347</v>
      </c>
      <c r="I47">
        <f>(M47/$F47)*100</f>
        <v>0</v>
      </c>
      <c r="J47">
        <f t="shared" ref="J47:L47" si="4">(N47/$F47)*100</f>
        <v>99.531228793062041</v>
      </c>
      <c r="K47">
        <f t="shared" si="4"/>
        <v>0.23073148492937112</v>
      </c>
      <c r="L47">
        <f t="shared" si="4"/>
        <v>0.23803972200858195</v>
      </c>
      <c r="M47">
        <v>0</v>
      </c>
      <c r="N47">
        <v>286000</v>
      </c>
      <c r="O47">
        <v>663</v>
      </c>
      <c r="P47">
        <v>684</v>
      </c>
      <c r="Q47" t="s">
        <v>76</v>
      </c>
      <c r="S47">
        <v>76</v>
      </c>
      <c r="T47">
        <v>30</v>
      </c>
      <c r="V47" t="s">
        <v>76</v>
      </c>
      <c r="W47" t="s">
        <v>89</v>
      </c>
      <c r="X47" t="s">
        <v>90</v>
      </c>
      <c r="Y47" t="s">
        <v>106</v>
      </c>
      <c r="Z47">
        <v>0</v>
      </c>
      <c r="AA47" s="11"/>
      <c r="AB47" s="11"/>
      <c r="AC47" s="11"/>
      <c r="AD47" s="11"/>
      <c r="AE47" s="11"/>
      <c r="AF47" s="11"/>
      <c r="AG47" s="11"/>
      <c r="AH47" s="11"/>
      <c r="AI47" s="11"/>
      <c r="AJ47" s="11"/>
      <c r="AK47" s="11"/>
      <c r="AL47" s="11"/>
      <c r="AM47" s="11" t="s">
        <v>77</v>
      </c>
      <c r="AO47" t="s">
        <v>64</v>
      </c>
      <c r="AP47" s="11"/>
      <c r="AQ47" s="11"/>
      <c r="AR47" s="11"/>
      <c r="AS47" s="11"/>
      <c r="AT47" s="11"/>
      <c r="AU47" s="11"/>
      <c r="AV47" s="11"/>
      <c r="AW47" s="11"/>
      <c r="AX47" s="11"/>
      <c r="AY47" s="11"/>
      <c r="AZ47" s="11" t="s">
        <v>77</v>
      </c>
      <c r="BA47" t="s">
        <v>64</v>
      </c>
      <c r="BB47">
        <v>0</v>
      </c>
      <c r="BC47" t="s">
        <v>118</v>
      </c>
      <c r="BD47" s="22"/>
      <c r="BE47" s="22"/>
      <c r="BF47" s="22"/>
      <c r="BG47" s="22"/>
      <c r="BH47" s="22"/>
      <c r="BI47" s="22"/>
      <c r="BJ47" s="22"/>
      <c r="BK47" s="22" t="s">
        <v>77</v>
      </c>
      <c r="BL47" t="s">
        <v>63</v>
      </c>
      <c r="BN47" s="22" t="s">
        <v>77</v>
      </c>
      <c r="BO47" s="22"/>
      <c r="BX47" t="s">
        <v>77</v>
      </c>
      <c r="BY47" t="s">
        <v>90</v>
      </c>
      <c r="CA47" t="s">
        <v>76</v>
      </c>
      <c r="CC47" t="s">
        <v>77</v>
      </c>
      <c r="CE47" t="s">
        <v>77</v>
      </c>
    </row>
    <row r="48" spans="1:83" x14ac:dyDescent="0.25">
      <c r="A48">
        <v>1827</v>
      </c>
      <c r="B48" t="s">
        <v>58</v>
      </c>
      <c r="C48" t="s">
        <v>15</v>
      </c>
      <c r="D48" t="s">
        <v>212</v>
      </c>
      <c r="E48">
        <v>60618</v>
      </c>
      <c r="F48">
        <v>53503</v>
      </c>
      <c r="G48" t="s">
        <v>65</v>
      </c>
      <c r="H48">
        <f t="shared" si="0"/>
        <v>53503</v>
      </c>
      <c r="I48">
        <v>0</v>
      </c>
      <c r="J48">
        <v>90.308132254266113</v>
      </c>
      <c r="K48">
        <v>2.2880773040764071</v>
      </c>
      <c r="L48">
        <v>7.4037904416574776</v>
      </c>
      <c r="M48">
        <v>0</v>
      </c>
      <c r="N48">
        <v>48317.56</v>
      </c>
      <c r="O48">
        <v>1224.1900000000003</v>
      </c>
      <c r="P48">
        <v>3961.25</v>
      </c>
      <c r="Q48" t="s">
        <v>76</v>
      </c>
      <c r="S48">
        <v>45</v>
      </c>
      <c r="V48" t="s">
        <v>76</v>
      </c>
      <c r="W48" t="s">
        <v>90</v>
      </c>
      <c r="X48" t="s">
        <v>77</v>
      </c>
      <c r="Z48">
        <v>0</v>
      </c>
      <c r="AA48" s="11"/>
      <c r="AB48" s="11"/>
      <c r="AC48" s="11"/>
      <c r="AD48" s="11"/>
      <c r="AE48" s="11"/>
      <c r="AF48" s="11"/>
      <c r="AG48" s="11"/>
      <c r="AH48" s="11"/>
      <c r="AI48" s="11"/>
      <c r="AJ48" s="11"/>
      <c r="AK48" s="11"/>
      <c r="AL48" s="11"/>
      <c r="AM48" s="11" t="s">
        <v>77</v>
      </c>
      <c r="AO48" t="s">
        <v>64</v>
      </c>
      <c r="AP48">
        <v>0.1089180993218415</v>
      </c>
      <c r="AQ48">
        <v>0</v>
      </c>
      <c r="AR48">
        <v>33.374798644829546</v>
      </c>
      <c r="AS48">
        <v>50.794242245317953</v>
      </c>
      <c r="AT48">
        <v>15.72204101053066</v>
      </c>
      <c r="AU48">
        <v>1.3333644800880518</v>
      </c>
      <c r="AV48">
        <v>0</v>
      </c>
      <c r="AW48">
        <v>408.57094753013894</v>
      </c>
      <c r="AX48">
        <v>621.81803414295803</v>
      </c>
      <c r="AY48">
        <v>192.46765384681535</v>
      </c>
      <c r="AZ48" t="s">
        <v>76</v>
      </c>
      <c r="BB48">
        <v>2739</v>
      </c>
      <c r="BC48" t="s">
        <v>76</v>
      </c>
      <c r="BD48" s="22"/>
      <c r="BE48" s="22"/>
      <c r="BF48" s="22"/>
      <c r="BG48" s="22"/>
      <c r="BH48" s="22"/>
      <c r="BI48" s="22"/>
      <c r="BJ48" s="22" t="s">
        <v>64</v>
      </c>
      <c r="BK48" s="22" t="s">
        <v>76</v>
      </c>
      <c r="BL48" t="s">
        <v>63</v>
      </c>
      <c r="BN48" s="22" t="s">
        <v>77</v>
      </c>
      <c r="BO48" s="22"/>
      <c r="BX48" t="s">
        <v>77</v>
      </c>
      <c r="BY48" t="s">
        <v>90</v>
      </c>
      <c r="CA48" t="s">
        <v>76</v>
      </c>
      <c r="CC48" t="s">
        <v>77</v>
      </c>
      <c r="CE48" t="s">
        <v>77</v>
      </c>
    </row>
    <row r="49" spans="1:83" x14ac:dyDescent="0.25">
      <c r="A49">
        <v>1832</v>
      </c>
      <c r="B49" t="s">
        <v>59</v>
      </c>
      <c r="C49" t="s">
        <v>15</v>
      </c>
      <c r="D49" t="s">
        <v>212</v>
      </c>
      <c r="E49">
        <v>300000</v>
      </c>
      <c r="F49">
        <f>SUM(M49:P49)</f>
        <v>414041.4</v>
      </c>
      <c r="G49" t="s">
        <v>65</v>
      </c>
      <c r="H49">
        <f t="shared" si="0"/>
        <v>414041.4</v>
      </c>
      <c r="I49">
        <f>(M49/$F49)*100</f>
        <v>0.35996400359964004</v>
      </c>
      <c r="J49">
        <f t="shared" ref="J49:L49" si="5">(N49/$F49)*100</f>
        <v>70.042995700429955</v>
      </c>
      <c r="K49">
        <f t="shared" si="5"/>
        <v>7.1392860713928616</v>
      </c>
      <c r="L49">
        <f t="shared" si="5"/>
        <v>22.457754224577542</v>
      </c>
      <c r="M49">
        <v>1490.4</v>
      </c>
      <c r="N49">
        <v>290007</v>
      </c>
      <c r="O49">
        <v>29559.600000000002</v>
      </c>
      <c r="P49">
        <v>92984.400000000009</v>
      </c>
      <c r="Q49" t="s">
        <v>76</v>
      </c>
      <c r="S49">
        <v>68</v>
      </c>
      <c r="T49">
        <v>25</v>
      </c>
      <c r="U49">
        <v>25</v>
      </c>
      <c r="V49" t="s">
        <v>76</v>
      </c>
      <c r="W49" t="s">
        <v>64</v>
      </c>
      <c r="X49" t="s">
        <v>77</v>
      </c>
      <c r="AA49" s="11"/>
      <c r="AB49" s="11"/>
      <c r="AC49" s="11"/>
      <c r="AD49" s="11"/>
      <c r="AE49" s="11"/>
      <c r="AF49" s="11"/>
      <c r="AG49" s="11"/>
      <c r="AH49" s="11"/>
      <c r="AI49" s="11"/>
      <c r="AJ49" s="11"/>
      <c r="AK49" s="11"/>
      <c r="AL49" s="11"/>
      <c r="AM49" s="11" t="s">
        <v>77</v>
      </c>
      <c r="AO49" t="s">
        <v>64</v>
      </c>
      <c r="AP49">
        <v>0</v>
      </c>
      <c r="AQ49">
        <v>0</v>
      </c>
      <c r="AR49">
        <v>75</v>
      </c>
      <c r="AS49">
        <v>25</v>
      </c>
      <c r="AT49">
        <v>0</v>
      </c>
      <c r="AU49">
        <v>0</v>
      </c>
      <c r="AV49">
        <v>0</v>
      </c>
      <c r="AW49">
        <v>22169.7</v>
      </c>
      <c r="AX49">
        <v>7389.9000000000005</v>
      </c>
      <c r="AY49">
        <v>0</v>
      </c>
      <c r="AZ49" t="s">
        <v>76</v>
      </c>
      <c r="BB49">
        <v>0</v>
      </c>
      <c r="BC49" t="s">
        <v>118</v>
      </c>
      <c r="BD49" s="22">
        <v>6.69</v>
      </c>
      <c r="BE49" s="26">
        <v>17700</v>
      </c>
      <c r="BF49" s="22"/>
      <c r="BG49" s="22"/>
      <c r="BH49" s="22"/>
      <c r="BI49" s="22"/>
      <c r="BJ49" s="22"/>
      <c r="BK49" s="22" t="s">
        <v>76</v>
      </c>
      <c r="BL49" t="s">
        <v>63</v>
      </c>
      <c r="BN49" s="22" t="s">
        <v>77</v>
      </c>
      <c r="BO49" s="22"/>
      <c r="BX49" t="s">
        <v>77</v>
      </c>
      <c r="BY49" t="s">
        <v>90</v>
      </c>
      <c r="CA49" t="s">
        <v>76</v>
      </c>
      <c r="CC49" t="s">
        <v>77</v>
      </c>
      <c r="CE49" t="s">
        <v>77</v>
      </c>
    </row>
    <row r="50" spans="1:83" x14ac:dyDescent="0.25">
      <c r="A50">
        <v>1838</v>
      </c>
      <c r="B50" t="s">
        <v>59</v>
      </c>
      <c r="C50" t="s">
        <v>48</v>
      </c>
      <c r="D50" t="s">
        <v>212</v>
      </c>
      <c r="E50">
        <v>15000</v>
      </c>
      <c r="F50">
        <v>28500</v>
      </c>
      <c r="G50" t="s">
        <v>65</v>
      </c>
      <c r="H50">
        <f t="shared" si="0"/>
        <v>28500</v>
      </c>
      <c r="I50">
        <v>0</v>
      </c>
      <c r="J50">
        <v>90</v>
      </c>
      <c r="K50">
        <v>0</v>
      </c>
      <c r="L50">
        <v>10</v>
      </c>
      <c r="M50">
        <v>0</v>
      </c>
      <c r="N50">
        <v>25650</v>
      </c>
      <c r="O50">
        <v>0</v>
      </c>
      <c r="P50">
        <v>2850</v>
      </c>
      <c r="Q50" t="s">
        <v>76</v>
      </c>
      <c r="S50">
        <v>8</v>
      </c>
      <c r="V50" t="s">
        <v>76</v>
      </c>
      <c r="W50" t="s">
        <v>90</v>
      </c>
      <c r="X50" t="s">
        <v>90</v>
      </c>
      <c r="Y50" t="s">
        <v>107</v>
      </c>
      <c r="Z50">
        <v>0</v>
      </c>
      <c r="AA50" s="11"/>
      <c r="AB50" s="11"/>
      <c r="AC50" s="11"/>
      <c r="AD50" s="11"/>
      <c r="AE50" s="11"/>
      <c r="AF50" s="11"/>
      <c r="AG50" s="11"/>
      <c r="AH50" s="11"/>
      <c r="AI50" s="11"/>
      <c r="AJ50" s="11"/>
      <c r="AK50" s="11"/>
      <c r="AL50" s="11"/>
      <c r="AM50" s="11" t="s">
        <v>77</v>
      </c>
      <c r="AO50" t="s">
        <v>64</v>
      </c>
      <c r="AZ50" t="s">
        <v>137</v>
      </c>
      <c r="BB50">
        <v>0</v>
      </c>
      <c r="BC50" t="s">
        <v>118</v>
      </c>
      <c r="BD50" s="22"/>
      <c r="BE50" s="22"/>
      <c r="BF50" s="22"/>
      <c r="BG50" s="22"/>
      <c r="BH50" s="22"/>
      <c r="BI50" s="22"/>
      <c r="BJ50" s="22" t="s">
        <v>64</v>
      </c>
      <c r="BK50" s="22" t="s">
        <v>76</v>
      </c>
      <c r="BL50" t="s">
        <v>63</v>
      </c>
      <c r="BN50" s="22" t="s">
        <v>64</v>
      </c>
      <c r="BO50" s="22">
        <v>0</v>
      </c>
      <c r="BW50" t="s">
        <v>64</v>
      </c>
      <c r="BX50" t="s">
        <v>76</v>
      </c>
      <c r="BY50" t="s">
        <v>63</v>
      </c>
      <c r="CA50" t="s">
        <v>76</v>
      </c>
      <c r="CC50" t="s">
        <v>77</v>
      </c>
      <c r="CE50" t="s">
        <v>77</v>
      </c>
    </row>
    <row r="51" spans="1:83" x14ac:dyDescent="0.25">
      <c r="A51">
        <v>1882</v>
      </c>
      <c r="B51" t="s">
        <v>59</v>
      </c>
      <c r="C51" t="s">
        <v>48</v>
      </c>
      <c r="D51" t="s">
        <v>212</v>
      </c>
      <c r="E51">
        <v>10000</v>
      </c>
      <c r="F51">
        <v>14245.17</v>
      </c>
      <c r="G51" t="s">
        <v>65</v>
      </c>
      <c r="H51">
        <f t="shared" si="0"/>
        <v>14245.169999999998</v>
      </c>
      <c r="I51">
        <v>0</v>
      </c>
      <c r="J51">
        <v>94.375993025914056</v>
      </c>
      <c r="K51">
        <v>5.6240069740859404</v>
      </c>
      <c r="L51">
        <v>0</v>
      </c>
      <c r="M51">
        <v>0</v>
      </c>
      <c r="N51">
        <v>13444.020645729601</v>
      </c>
      <c r="O51">
        <v>801.14935427039825</v>
      </c>
      <c r="P51">
        <v>0</v>
      </c>
      <c r="Q51" t="s">
        <v>76</v>
      </c>
      <c r="R51" t="s">
        <v>64</v>
      </c>
      <c r="S51">
        <v>25</v>
      </c>
      <c r="T51">
        <v>8</v>
      </c>
      <c r="U51">
        <v>0</v>
      </c>
      <c r="V51" t="s">
        <v>76</v>
      </c>
      <c r="W51" t="s">
        <v>64</v>
      </c>
      <c r="X51" t="s">
        <v>63</v>
      </c>
      <c r="Y51" t="s">
        <v>108</v>
      </c>
      <c r="Z51">
        <v>0</v>
      </c>
      <c r="AA51" s="11"/>
      <c r="AB51" s="11"/>
      <c r="AC51" s="11"/>
      <c r="AD51" s="11"/>
      <c r="AE51" s="11"/>
      <c r="AF51" s="11"/>
      <c r="AG51" s="11"/>
      <c r="AH51" s="11"/>
      <c r="AI51" s="11"/>
      <c r="AJ51" s="11"/>
      <c r="AK51" s="11"/>
      <c r="AL51" s="11"/>
      <c r="AM51" s="11" t="s">
        <v>77</v>
      </c>
      <c r="AO51" t="s">
        <v>64</v>
      </c>
      <c r="AP51">
        <v>10</v>
      </c>
      <c r="AQ51">
        <v>10</v>
      </c>
      <c r="AR51">
        <v>50</v>
      </c>
      <c r="AS51">
        <v>20</v>
      </c>
      <c r="AT51">
        <v>10</v>
      </c>
      <c r="AU51">
        <v>80.114935427039825</v>
      </c>
      <c r="AV51">
        <v>80.114935427039825</v>
      </c>
      <c r="AW51">
        <v>400.57467713519912</v>
      </c>
      <c r="AX51">
        <v>160.22987085407965</v>
      </c>
      <c r="AY51">
        <v>80.114935427039825</v>
      </c>
      <c r="AZ51" t="s">
        <v>76</v>
      </c>
      <c r="BB51">
        <v>0</v>
      </c>
      <c r="BC51" t="s">
        <v>118</v>
      </c>
      <c r="BD51" s="22">
        <v>0</v>
      </c>
      <c r="BE51" s="22"/>
      <c r="BF51" s="22">
        <v>0</v>
      </c>
      <c r="BG51" s="22"/>
      <c r="BH51" s="22">
        <v>0</v>
      </c>
      <c r="BI51" s="22"/>
      <c r="BJ51" s="22"/>
      <c r="BK51" s="22" t="s">
        <v>118</v>
      </c>
      <c r="BL51" t="s">
        <v>158</v>
      </c>
      <c r="BN51" s="22" t="s">
        <v>89</v>
      </c>
      <c r="BO51" s="22">
        <v>0</v>
      </c>
      <c r="BW51" t="s">
        <v>64</v>
      </c>
      <c r="BX51" t="s">
        <v>65</v>
      </c>
      <c r="BY51" t="s">
        <v>63</v>
      </c>
      <c r="CA51" t="s">
        <v>76</v>
      </c>
      <c r="CC51" t="s">
        <v>77</v>
      </c>
      <c r="CE51" t="s">
        <v>77</v>
      </c>
    </row>
    <row r="52" spans="1:83" x14ac:dyDescent="0.25">
      <c r="A52">
        <v>1883</v>
      </c>
      <c r="B52" t="s">
        <v>59</v>
      </c>
      <c r="C52" t="s">
        <v>48</v>
      </c>
      <c r="D52" t="s">
        <v>212</v>
      </c>
      <c r="E52">
        <v>200000</v>
      </c>
      <c r="F52">
        <f>SUM(M52:P52)</f>
        <v>413174.64</v>
      </c>
      <c r="G52" t="s">
        <v>65</v>
      </c>
      <c r="H52">
        <f t="shared" si="0"/>
        <v>413174.64</v>
      </c>
      <c r="I52">
        <f>(M52/$F52)*100</f>
        <v>16.949152542372882</v>
      </c>
      <c r="J52">
        <f t="shared" ref="J52:L52" si="6">(N52/$F52)*100</f>
        <v>71.779661016949163</v>
      </c>
      <c r="K52">
        <f t="shared" si="6"/>
        <v>5.1694915254237284</v>
      </c>
      <c r="L52">
        <f t="shared" si="6"/>
        <v>6.1016949152542379</v>
      </c>
      <c r="M52">
        <v>70029.600000000006</v>
      </c>
      <c r="N52">
        <v>296575.35600000003</v>
      </c>
      <c r="O52">
        <v>21359.027999999998</v>
      </c>
      <c r="P52">
        <v>25210.656000000003</v>
      </c>
      <c r="Q52" t="s">
        <v>76</v>
      </c>
      <c r="S52">
        <v>17.5</v>
      </c>
      <c r="T52">
        <v>17.5</v>
      </c>
      <c r="U52">
        <v>17.5</v>
      </c>
      <c r="V52" t="s">
        <v>76</v>
      </c>
      <c r="W52" t="s">
        <v>64</v>
      </c>
      <c r="X52" t="s">
        <v>64</v>
      </c>
      <c r="Z52">
        <v>70029.600000000006</v>
      </c>
      <c r="AA52">
        <v>0</v>
      </c>
      <c r="AB52">
        <v>3.9982864486648584</v>
      </c>
      <c r="AC52">
        <v>15.707553905469085</v>
      </c>
      <c r="AD52">
        <v>49.978580608310722</v>
      </c>
      <c r="AE52">
        <v>30.029987148364985</v>
      </c>
      <c r="AF52">
        <v>0.28559188919034695</v>
      </c>
      <c r="AG52">
        <v>0</v>
      </c>
      <c r="AH52">
        <v>2799.9840068542062</v>
      </c>
      <c r="AI52">
        <v>10999.93716978438</v>
      </c>
      <c r="AJ52">
        <v>34999.800085677569</v>
      </c>
      <c r="AK52">
        <v>21029.879880051409</v>
      </c>
      <c r="AL52">
        <v>199.99885763244322</v>
      </c>
      <c r="AM52" s="18" t="s">
        <v>76</v>
      </c>
      <c r="AO52" t="s">
        <v>64</v>
      </c>
      <c r="AP52">
        <v>6</v>
      </c>
      <c r="AQ52">
        <v>1</v>
      </c>
      <c r="AR52">
        <v>10</v>
      </c>
      <c r="AS52">
        <v>80</v>
      </c>
      <c r="AT52">
        <v>3</v>
      </c>
      <c r="AU52">
        <v>1281.54168</v>
      </c>
      <c r="AV52">
        <v>213.59027999999998</v>
      </c>
      <c r="AW52">
        <v>2135.9027999999998</v>
      </c>
      <c r="AX52">
        <v>17087.222399999999</v>
      </c>
      <c r="AY52">
        <v>640.77084000000002</v>
      </c>
      <c r="AZ52" t="s">
        <v>76</v>
      </c>
      <c r="BB52">
        <v>0</v>
      </c>
      <c r="BC52" t="s">
        <v>118</v>
      </c>
      <c r="BD52" s="22"/>
      <c r="BE52" s="22"/>
      <c r="BF52" s="22"/>
      <c r="BG52" s="22"/>
      <c r="BH52" s="22"/>
      <c r="BI52" s="22"/>
      <c r="BJ52" s="22" t="s">
        <v>64</v>
      </c>
      <c r="BK52" s="22" t="s">
        <v>76</v>
      </c>
      <c r="BL52" t="s">
        <v>158</v>
      </c>
      <c r="BN52" s="22" t="s">
        <v>89</v>
      </c>
      <c r="BO52" s="22">
        <v>0</v>
      </c>
      <c r="BW52" t="s">
        <v>196</v>
      </c>
      <c r="BX52" t="s">
        <v>76</v>
      </c>
      <c r="BY52" t="s">
        <v>63</v>
      </c>
      <c r="CA52" t="s">
        <v>76</v>
      </c>
      <c r="CC52" t="s">
        <v>77</v>
      </c>
      <c r="CE52" t="s">
        <v>77</v>
      </c>
    </row>
    <row r="53" spans="1:83" x14ac:dyDescent="0.25">
      <c r="A53">
        <v>1887</v>
      </c>
      <c r="B53" t="s">
        <v>59</v>
      </c>
      <c r="C53" t="s">
        <v>48</v>
      </c>
      <c r="D53" t="s">
        <v>212</v>
      </c>
      <c r="E53">
        <v>10000</v>
      </c>
      <c r="F53">
        <v>13000</v>
      </c>
      <c r="G53" t="s">
        <v>65</v>
      </c>
      <c r="H53">
        <f t="shared" si="0"/>
        <v>13000</v>
      </c>
      <c r="I53">
        <v>0</v>
      </c>
      <c r="J53">
        <v>90.335305719921095</v>
      </c>
      <c r="K53">
        <v>7.1005917159763312</v>
      </c>
      <c r="L53">
        <v>2.5641025641025639</v>
      </c>
      <c r="M53">
        <v>0</v>
      </c>
      <c r="N53">
        <v>11743.589743589742</v>
      </c>
      <c r="O53">
        <v>923.07692307692309</v>
      </c>
      <c r="P53">
        <v>333.33333333333331</v>
      </c>
      <c r="Q53" t="s">
        <v>76</v>
      </c>
      <c r="R53" t="s">
        <v>64</v>
      </c>
      <c r="S53">
        <v>29</v>
      </c>
      <c r="V53" t="s">
        <v>76</v>
      </c>
      <c r="W53" t="s">
        <v>63</v>
      </c>
      <c r="X53" t="s">
        <v>77</v>
      </c>
      <c r="Z53">
        <v>0</v>
      </c>
      <c r="AA53" s="11"/>
      <c r="AB53" s="11"/>
      <c r="AC53" s="11"/>
      <c r="AD53" s="11"/>
      <c r="AE53" s="11"/>
      <c r="AF53" s="11"/>
      <c r="AG53" s="11"/>
      <c r="AH53" s="11"/>
      <c r="AI53" s="11"/>
      <c r="AJ53" s="11"/>
      <c r="AK53" s="11"/>
      <c r="AL53" s="11"/>
      <c r="AM53" s="11" t="s">
        <v>77</v>
      </c>
      <c r="AO53" t="s">
        <v>64</v>
      </c>
      <c r="AP53" s="11"/>
      <c r="AQ53" s="11"/>
      <c r="AR53" s="11"/>
      <c r="AS53" s="11"/>
      <c r="AT53" s="11"/>
      <c r="AU53" s="11"/>
      <c r="AV53" s="11"/>
      <c r="AW53" s="11"/>
      <c r="AX53" s="11"/>
      <c r="AY53" s="11"/>
      <c r="AZ53" s="11" t="s">
        <v>77</v>
      </c>
      <c r="BC53" t="s">
        <v>77</v>
      </c>
      <c r="BD53" s="22"/>
      <c r="BE53" s="22"/>
      <c r="BF53" s="22"/>
      <c r="BG53" s="22"/>
      <c r="BH53" s="22"/>
      <c r="BI53" s="22"/>
      <c r="BJ53" s="22"/>
      <c r="BK53" s="22" t="s">
        <v>77</v>
      </c>
      <c r="BL53" t="s">
        <v>77</v>
      </c>
      <c r="BN53" s="22" t="s">
        <v>77</v>
      </c>
      <c r="BO53" s="22"/>
      <c r="BX53" t="s">
        <v>77</v>
      </c>
      <c r="BY53" t="s">
        <v>77</v>
      </c>
      <c r="CA53" t="s">
        <v>201</v>
      </c>
      <c r="CC53" t="s">
        <v>77</v>
      </c>
      <c r="CE53" t="s">
        <v>77</v>
      </c>
    </row>
    <row r="54" spans="1:83" x14ac:dyDescent="0.25">
      <c r="A54">
        <v>1891</v>
      </c>
      <c r="B54" t="s">
        <v>59</v>
      </c>
      <c r="C54" t="s">
        <v>48</v>
      </c>
      <c r="D54" t="s">
        <v>212</v>
      </c>
      <c r="E54">
        <v>14000</v>
      </c>
      <c r="F54">
        <v>25000</v>
      </c>
      <c r="G54" t="s">
        <v>65</v>
      </c>
      <c r="H54">
        <f t="shared" si="0"/>
        <v>25000</v>
      </c>
      <c r="I54">
        <v>1</v>
      </c>
      <c r="J54">
        <v>95</v>
      </c>
      <c r="K54">
        <v>2</v>
      </c>
      <c r="L54">
        <v>2</v>
      </c>
      <c r="M54">
        <v>250</v>
      </c>
      <c r="N54">
        <v>23750</v>
      </c>
      <c r="O54">
        <v>500</v>
      </c>
      <c r="P54">
        <v>500</v>
      </c>
      <c r="Q54" t="s">
        <v>76</v>
      </c>
      <c r="S54">
        <v>37.5</v>
      </c>
      <c r="V54" t="s">
        <v>76</v>
      </c>
      <c r="W54" t="s">
        <v>64</v>
      </c>
      <c r="X54" t="s">
        <v>64</v>
      </c>
      <c r="Y54" t="s">
        <v>109</v>
      </c>
      <c r="AA54" s="11"/>
      <c r="AB54" s="11"/>
      <c r="AC54" s="11"/>
      <c r="AD54" s="11"/>
      <c r="AE54" s="11"/>
      <c r="AF54" s="11"/>
      <c r="AG54" s="11"/>
      <c r="AH54" s="11"/>
      <c r="AI54" s="11"/>
      <c r="AJ54" s="11"/>
      <c r="AK54" s="11"/>
      <c r="AL54" s="11"/>
      <c r="AM54" s="11" t="s">
        <v>77</v>
      </c>
      <c r="AO54" t="s">
        <v>63</v>
      </c>
      <c r="AP54" s="11"/>
      <c r="AQ54" s="11"/>
      <c r="AR54" s="11"/>
      <c r="AS54" s="11"/>
      <c r="AT54" s="11"/>
      <c r="AU54" s="11"/>
      <c r="AV54" s="11"/>
      <c r="AW54" s="11"/>
      <c r="AX54" s="11"/>
      <c r="AY54" s="11"/>
      <c r="AZ54" s="11" t="s">
        <v>77</v>
      </c>
      <c r="BA54" t="s">
        <v>64</v>
      </c>
      <c r="BB54">
        <v>0</v>
      </c>
      <c r="BC54" t="s">
        <v>118</v>
      </c>
      <c r="BD54" s="22"/>
      <c r="BE54" s="22"/>
      <c r="BF54" s="22"/>
      <c r="BG54" s="22"/>
      <c r="BH54" s="22"/>
      <c r="BI54" s="22"/>
      <c r="BJ54" s="22"/>
      <c r="BK54" s="22" t="s">
        <v>77</v>
      </c>
      <c r="BL54" t="s">
        <v>63</v>
      </c>
      <c r="BN54" s="22" t="s">
        <v>77</v>
      </c>
      <c r="BO54" s="22"/>
      <c r="BX54" t="s">
        <v>77</v>
      </c>
      <c r="BY54" t="s">
        <v>64</v>
      </c>
      <c r="CA54" t="s">
        <v>76</v>
      </c>
      <c r="CC54" t="s">
        <v>77</v>
      </c>
      <c r="CE54" t="s">
        <v>77</v>
      </c>
    </row>
    <row r="55" spans="1:83" x14ac:dyDescent="0.25">
      <c r="A55">
        <v>1900</v>
      </c>
      <c r="B55" t="s">
        <v>59</v>
      </c>
      <c r="C55" t="s">
        <v>14</v>
      </c>
      <c r="D55" t="s">
        <v>212</v>
      </c>
      <c r="E55">
        <v>30000</v>
      </c>
      <c r="F55">
        <v>35000</v>
      </c>
      <c r="G55" t="s">
        <v>65</v>
      </c>
      <c r="H55">
        <f t="shared" si="0"/>
        <v>35000</v>
      </c>
      <c r="I55">
        <v>1</v>
      </c>
      <c r="J55">
        <v>76</v>
      </c>
      <c r="K55">
        <v>23</v>
      </c>
      <c r="L55">
        <v>0</v>
      </c>
      <c r="M55">
        <v>350</v>
      </c>
      <c r="N55">
        <v>26600</v>
      </c>
      <c r="O55">
        <v>8050</v>
      </c>
      <c r="P55">
        <v>0</v>
      </c>
      <c r="Q55" t="s">
        <v>76</v>
      </c>
      <c r="S55">
        <v>57.9</v>
      </c>
      <c r="T55">
        <v>57.9</v>
      </c>
      <c r="U55">
        <v>57.9</v>
      </c>
      <c r="V55" t="s">
        <v>76</v>
      </c>
      <c r="W55" t="s">
        <v>89</v>
      </c>
      <c r="X55" t="s">
        <v>89</v>
      </c>
      <c r="Z55">
        <v>350</v>
      </c>
      <c r="AA55">
        <v>4</v>
      </c>
      <c r="AB55">
        <v>4</v>
      </c>
      <c r="AC55">
        <v>62</v>
      </c>
      <c r="AD55">
        <v>10</v>
      </c>
      <c r="AE55">
        <v>10</v>
      </c>
      <c r="AF55">
        <v>10</v>
      </c>
      <c r="AG55">
        <v>14</v>
      </c>
      <c r="AH55">
        <v>14</v>
      </c>
      <c r="AI55">
        <v>217</v>
      </c>
      <c r="AJ55">
        <v>35</v>
      </c>
      <c r="AK55">
        <v>35</v>
      </c>
      <c r="AL55">
        <v>35</v>
      </c>
      <c r="AM55" s="18" t="s">
        <v>76</v>
      </c>
      <c r="AO55" t="s">
        <v>64</v>
      </c>
      <c r="AP55">
        <v>0</v>
      </c>
      <c r="AQ55">
        <v>0</v>
      </c>
      <c r="AR55">
        <v>0</v>
      </c>
      <c r="AS55">
        <v>100</v>
      </c>
      <c r="AT55">
        <v>0</v>
      </c>
      <c r="AU55">
        <v>0</v>
      </c>
      <c r="AV55">
        <v>0</v>
      </c>
      <c r="AW55">
        <v>0</v>
      </c>
      <c r="AX55">
        <v>8050</v>
      </c>
      <c r="AY55">
        <v>0</v>
      </c>
      <c r="AZ55" t="s">
        <v>76</v>
      </c>
      <c r="BB55">
        <v>0</v>
      </c>
      <c r="BC55" t="s">
        <v>118</v>
      </c>
      <c r="BD55" s="22">
        <v>0</v>
      </c>
      <c r="BE55" s="22"/>
      <c r="BF55" s="22">
        <v>0</v>
      </c>
      <c r="BG55" s="22"/>
      <c r="BH55" s="22">
        <v>0</v>
      </c>
      <c r="BI55" s="22"/>
      <c r="BJ55" s="22"/>
      <c r="BK55" s="22" t="s">
        <v>118</v>
      </c>
      <c r="BL55" t="s">
        <v>63</v>
      </c>
      <c r="BN55" s="22" t="s">
        <v>77</v>
      </c>
      <c r="BO55" s="22"/>
      <c r="BX55" t="s">
        <v>77</v>
      </c>
      <c r="BY55" t="s">
        <v>63</v>
      </c>
      <c r="CA55" t="s">
        <v>76</v>
      </c>
      <c r="CC55" t="s">
        <v>77</v>
      </c>
      <c r="CE55" t="s">
        <v>77</v>
      </c>
    </row>
    <row r="56" spans="1:83" x14ac:dyDescent="0.25">
      <c r="A56">
        <v>1907</v>
      </c>
      <c r="B56" t="s">
        <v>59</v>
      </c>
      <c r="C56" t="s">
        <v>14</v>
      </c>
      <c r="D56" t="s">
        <v>212</v>
      </c>
      <c r="E56">
        <v>150000</v>
      </c>
      <c r="F56">
        <f>SUM(M56:P56)</f>
        <v>178501.33000000002</v>
      </c>
      <c r="G56" t="s">
        <v>65</v>
      </c>
      <c r="H56">
        <f t="shared" si="0"/>
        <v>178501.33000000002</v>
      </c>
      <c r="I56">
        <f>(M56/$F56)*100</f>
        <v>0</v>
      </c>
      <c r="J56">
        <f t="shared" ref="J56:L56" si="7">(N56/$F56)*100</f>
        <v>97.984704091560531</v>
      </c>
      <c r="K56">
        <f t="shared" si="7"/>
        <v>1.9524616427227741</v>
      </c>
      <c r="L56">
        <f t="shared" si="7"/>
        <v>6.2834265716675594E-2</v>
      </c>
      <c r="M56">
        <v>0</v>
      </c>
      <c r="N56">
        <v>174904</v>
      </c>
      <c r="O56">
        <v>3485.1700000000005</v>
      </c>
      <c r="P56">
        <v>112.15999999999998</v>
      </c>
      <c r="Q56" t="s">
        <v>76</v>
      </c>
      <c r="S56">
        <v>30.21</v>
      </c>
      <c r="T56">
        <v>30.21</v>
      </c>
      <c r="U56">
        <v>30.21</v>
      </c>
      <c r="V56" t="s">
        <v>76</v>
      </c>
      <c r="W56" t="s">
        <v>89</v>
      </c>
      <c r="X56" t="s">
        <v>89</v>
      </c>
      <c r="Z56">
        <v>0</v>
      </c>
      <c r="AA56" s="11"/>
      <c r="AB56" s="11"/>
      <c r="AC56" s="11"/>
      <c r="AD56" s="11"/>
      <c r="AE56" s="11"/>
      <c r="AF56" s="11"/>
      <c r="AG56" s="11"/>
      <c r="AH56" s="11"/>
      <c r="AI56" s="11"/>
      <c r="AJ56" s="11"/>
      <c r="AK56" s="11"/>
      <c r="AL56" s="11"/>
      <c r="AM56" s="11" t="s">
        <v>77</v>
      </c>
      <c r="AO56" t="s">
        <v>64</v>
      </c>
      <c r="AP56">
        <v>0</v>
      </c>
      <c r="AQ56">
        <v>0</v>
      </c>
      <c r="AR56">
        <v>0</v>
      </c>
      <c r="AS56">
        <v>100</v>
      </c>
      <c r="AT56">
        <v>0</v>
      </c>
      <c r="AU56">
        <v>0</v>
      </c>
      <c r="AV56">
        <v>0</v>
      </c>
      <c r="AW56">
        <v>0</v>
      </c>
      <c r="AX56">
        <v>3485.1700000000005</v>
      </c>
      <c r="AY56">
        <v>0</v>
      </c>
      <c r="AZ56" t="s">
        <v>76</v>
      </c>
      <c r="BB56">
        <v>0</v>
      </c>
      <c r="BC56" t="s">
        <v>118</v>
      </c>
      <c r="BD56" s="22"/>
      <c r="BE56" s="22"/>
      <c r="BF56" s="22"/>
      <c r="BG56" s="22"/>
      <c r="BH56" s="22"/>
      <c r="BI56" s="22"/>
      <c r="BJ56" s="22" t="s">
        <v>64</v>
      </c>
      <c r="BK56" s="22" t="s">
        <v>76</v>
      </c>
      <c r="BL56" t="s">
        <v>77</v>
      </c>
      <c r="BN56" s="22" t="s">
        <v>77</v>
      </c>
      <c r="BO56" s="22"/>
      <c r="BX56" t="s">
        <v>77</v>
      </c>
      <c r="BY56" t="s">
        <v>77</v>
      </c>
      <c r="CA56" t="s">
        <v>201</v>
      </c>
      <c r="CC56" t="s">
        <v>77</v>
      </c>
      <c r="CE56" t="s">
        <v>77</v>
      </c>
    </row>
    <row r="57" spans="1:83" x14ac:dyDescent="0.25">
      <c r="A57">
        <v>1908</v>
      </c>
      <c r="B57" t="s">
        <v>58</v>
      </c>
      <c r="C57" t="s">
        <v>14</v>
      </c>
      <c r="D57" t="s">
        <v>212</v>
      </c>
      <c r="E57">
        <v>80000</v>
      </c>
      <c r="F57">
        <v>100000</v>
      </c>
      <c r="G57" t="s">
        <v>65</v>
      </c>
      <c r="H57">
        <f t="shared" si="0"/>
        <v>100000</v>
      </c>
      <c r="I57">
        <v>50</v>
      </c>
      <c r="J57">
        <v>50</v>
      </c>
      <c r="K57">
        <v>0</v>
      </c>
      <c r="L57">
        <v>0</v>
      </c>
      <c r="M57">
        <v>50000</v>
      </c>
      <c r="N57">
        <v>50000</v>
      </c>
      <c r="O57">
        <v>0</v>
      </c>
      <c r="P57">
        <v>0</v>
      </c>
      <c r="Q57" t="s">
        <v>76</v>
      </c>
      <c r="R57" t="s">
        <v>64</v>
      </c>
      <c r="S57">
        <v>24</v>
      </c>
      <c r="T57">
        <v>24</v>
      </c>
      <c r="U57">
        <v>24</v>
      </c>
      <c r="V57" t="s">
        <v>76</v>
      </c>
      <c r="W57" t="s">
        <v>89</v>
      </c>
      <c r="X57" t="s">
        <v>89</v>
      </c>
      <c r="AA57" s="11"/>
      <c r="AB57" s="11"/>
      <c r="AC57" s="11"/>
      <c r="AD57" s="11"/>
      <c r="AE57" s="11"/>
      <c r="AF57" s="11"/>
      <c r="AG57" s="11"/>
      <c r="AH57" s="11"/>
      <c r="AI57" s="11"/>
      <c r="AJ57" s="11"/>
      <c r="AK57" s="11"/>
      <c r="AL57" s="11"/>
      <c r="AM57" s="11" t="s">
        <v>77</v>
      </c>
      <c r="AO57" t="s">
        <v>63</v>
      </c>
      <c r="AP57" s="11"/>
      <c r="AQ57" s="11"/>
      <c r="AR57" s="11"/>
      <c r="AS57" s="11"/>
      <c r="AT57" s="11"/>
      <c r="AU57" s="11"/>
      <c r="AV57" s="11"/>
      <c r="AW57" s="11"/>
      <c r="AX57" s="11"/>
      <c r="AY57" s="11"/>
      <c r="AZ57" s="11" t="s">
        <v>77</v>
      </c>
      <c r="BA57" t="s">
        <v>64</v>
      </c>
      <c r="BC57" t="s">
        <v>77</v>
      </c>
      <c r="BD57" s="22"/>
      <c r="BE57" s="22"/>
      <c r="BF57" s="22"/>
      <c r="BG57" s="22"/>
      <c r="BH57" s="22"/>
      <c r="BI57" s="22"/>
      <c r="BJ57" s="22"/>
      <c r="BK57" s="22" t="s">
        <v>77</v>
      </c>
      <c r="BL57" t="s">
        <v>77</v>
      </c>
      <c r="BN57" s="22" t="s">
        <v>77</v>
      </c>
      <c r="BO57" s="22"/>
      <c r="BX57" t="s">
        <v>77</v>
      </c>
      <c r="BY57" t="s">
        <v>90</v>
      </c>
      <c r="CA57" t="s">
        <v>76</v>
      </c>
      <c r="CC57" t="s">
        <v>77</v>
      </c>
      <c r="CE57" t="s">
        <v>77</v>
      </c>
    </row>
    <row r="58" spans="1:83" x14ac:dyDescent="0.25">
      <c r="A58">
        <v>2010</v>
      </c>
      <c r="B58" t="s">
        <v>59</v>
      </c>
      <c r="C58" t="s">
        <v>38</v>
      </c>
      <c r="D58" t="s">
        <v>212</v>
      </c>
      <c r="F58">
        <v>600000</v>
      </c>
      <c r="G58" t="s">
        <v>65</v>
      </c>
      <c r="H58">
        <f t="shared" si="0"/>
        <v>0</v>
      </c>
      <c r="I58" s="11"/>
      <c r="J58" s="11"/>
      <c r="K58" s="11"/>
      <c r="L58" s="11"/>
      <c r="M58" s="11"/>
      <c r="N58" s="11"/>
      <c r="O58" s="11"/>
      <c r="P58" s="11"/>
      <c r="Q58" s="11" t="s">
        <v>66</v>
      </c>
      <c r="R58" s="11"/>
      <c r="S58">
        <v>34.58</v>
      </c>
      <c r="V58" t="s">
        <v>76</v>
      </c>
      <c r="W58" t="s">
        <v>89</v>
      </c>
      <c r="X58" t="s">
        <v>89</v>
      </c>
      <c r="Z58" s="11"/>
      <c r="AA58" s="11"/>
      <c r="AB58" s="11"/>
      <c r="AC58" s="11"/>
      <c r="AD58" s="11"/>
      <c r="AE58" s="11"/>
      <c r="AF58" s="11"/>
      <c r="AG58" s="11"/>
      <c r="AH58" s="11"/>
      <c r="AI58" s="11"/>
      <c r="AJ58" s="11"/>
      <c r="AK58" s="11"/>
      <c r="AL58" s="11"/>
      <c r="AM58" s="11" t="s">
        <v>77</v>
      </c>
      <c r="AO58" t="s">
        <v>63</v>
      </c>
      <c r="AP58" s="11"/>
      <c r="AQ58" s="11"/>
      <c r="AR58" s="11"/>
      <c r="AS58" s="11"/>
      <c r="AT58" s="11"/>
      <c r="AU58" s="11"/>
      <c r="AV58" s="11"/>
      <c r="AW58" s="11"/>
      <c r="AX58" s="11"/>
      <c r="AY58" s="11"/>
      <c r="AZ58" s="11" t="s">
        <v>77</v>
      </c>
      <c r="BC58" t="s">
        <v>77</v>
      </c>
      <c r="BD58" s="22"/>
      <c r="BE58" s="22"/>
      <c r="BF58" s="22"/>
      <c r="BG58" s="22"/>
      <c r="BH58" s="22"/>
      <c r="BI58" s="22"/>
      <c r="BJ58" s="22" t="s">
        <v>64</v>
      </c>
      <c r="BK58" s="22" t="s">
        <v>76</v>
      </c>
      <c r="BL58" t="s">
        <v>63</v>
      </c>
      <c r="BN58" s="22" t="s">
        <v>77</v>
      </c>
      <c r="BO58" s="22"/>
      <c r="BW58" t="s">
        <v>64</v>
      </c>
      <c r="BX58" t="s">
        <v>65</v>
      </c>
      <c r="BY58" t="s">
        <v>90</v>
      </c>
      <c r="CA58" t="s">
        <v>76</v>
      </c>
      <c r="CC58" t="s">
        <v>77</v>
      </c>
      <c r="CE58" t="s">
        <v>77</v>
      </c>
    </row>
    <row r="59" spans="1:83" x14ac:dyDescent="0.25">
      <c r="A59">
        <v>2011</v>
      </c>
      <c r="B59" t="s">
        <v>58</v>
      </c>
      <c r="C59" t="s">
        <v>42</v>
      </c>
      <c r="D59" t="s">
        <v>212</v>
      </c>
      <c r="E59">
        <v>30000</v>
      </c>
      <c r="F59">
        <v>59248.94</v>
      </c>
      <c r="G59" t="s">
        <v>65</v>
      </c>
      <c r="H59">
        <f t="shared" si="0"/>
        <v>59248.94</v>
      </c>
      <c r="I59">
        <v>0</v>
      </c>
      <c r="J59">
        <v>98.957285078785247</v>
      </c>
      <c r="K59">
        <v>1.0427149212147446</v>
      </c>
      <c r="L59">
        <v>0</v>
      </c>
      <c r="M59">
        <v>0</v>
      </c>
      <c r="N59">
        <v>58631.142461958429</v>
      </c>
      <c r="O59">
        <v>617.79753804157133</v>
      </c>
      <c r="P59">
        <v>0</v>
      </c>
      <c r="Q59" t="s">
        <v>76</v>
      </c>
      <c r="R59" t="s">
        <v>64</v>
      </c>
      <c r="S59">
        <v>82.8</v>
      </c>
      <c r="T59">
        <v>57.9</v>
      </c>
      <c r="V59" t="s">
        <v>76</v>
      </c>
      <c r="W59" t="s">
        <v>89</v>
      </c>
      <c r="X59" t="s">
        <v>89</v>
      </c>
      <c r="Z59">
        <v>0</v>
      </c>
      <c r="AA59" s="12"/>
      <c r="AB59" s="12"/>
      <c r="AC59" s="12"/>
      <c r="AD59" s="12"/>
      <c r="AE59" s="12"/>
      <c r="AF59" s="12"/>
      <c r="AG59" s="12"/>
      <c r="AH59" s="12"/>
      <c r="AI59" s="12"/>
      <c r="AJ59" s="12"/>
      <c r="AK59" s="12"/>
      <c r="AL59" s="12"/>
      <c r="AM59" s="12" t="s">
        <v>118</v>
      </c>
      <c r="AO59" t="s">
        <v>64</v>
      </c>
      <c r="AP59">
        <v>0</v>
      </c>
      <c r="AQ59">
        <v>0</v>
      </c>
      <c r="AR59">
        <v>0</v>
      </c>
      <c r="AS59">
        <v>100</v>
      </c>
      <c r="AT59">
        <v>0</v>
      </c>
      <c r="AU59">
        <v>0</v>
      </c>
      <c r="AV59">
        <v>0</v>
      </c>
      <c r="AW59">
        <v>0</v>
      </c>
      <c r="AX59">
        <v>617.79753804157133</v>
      </c>
      <c r="AY59">
        <v>0</v>
      </c>
      <c r="AZ59" t="s">
        <v>76</v>
      </c>
      <c r="BB59">
        <v>0</v>
      </c>
      <c r="BC59" t="s">
        <v>118</v>
      </c>
      <c r="BD59" s="22"/>
      <c r="BE59" s="22"/>
      <c r="BF59" s="22"/>
      <c r="BG59" s="22"/>
      <c r="BH59" s="22"/>
      <c r="BI59" s="22"/>
      <c r="BJ59" s="22"/>
      <c r="BK59" s="22" t="s">
        <v>77</v>
      </c>
      <c r="BL59" t="s">
        <v>63</v>
      </c>
      <c r="BN59" s="22" t="s">
        <v>77</v>
      </c>
      <c r="BO59" s="22"/>
      <c r="BX59" t="s">
        <v>77</v>
      </c>
      <c r="BY59" t="s">
        <v>77</v>
      </c>
      <c r="CA59" t="s">
        <v>201</v>
      </c>
      <c r="CC59" t="s">
        <v>77</v>
      </c>
      <c r="CE59" t="s">
        <v>77</v>
      </c>
    </row>
    <row r="60" spans="1:83" x14ac:dyDescent="0.25">
      <c r="A60">
        <v>2082</v>
      </c>
      <c r="B60" t="s">
        <v>58</v>
      </c>
      <c r="C60" t="s">
        <v>46</v>
      </c>
      <c r="D60" t="s">
        <v>212</v>
      </c>
      <c r="E60">
        <v>3032</v>
      </c>
      <c r="F60">
        <v>51025</v>
      </c>
      <c r="G60" t="s">
        <v>65</v>
      </c>
      <c r="H60">
        <f t="shared" si="0"/>
        <v>51025.000000000007</v>
      </c>
      <c r="I60">
        <v>0</v>
      </c>
      <c r="J60">
        <v>66.040000000000006</v>
      </c>
      <c r="K60">
        <v>8.7200000000000006</v>
      </c>
      <c r="L60">
        <v>25.24</v>
      </c>
      <c r="M60">
        <v>0</v>
      </c>
      <c r="N60">
        <v>33696.910000000003</v>
      </c>
      <c r="O60">
        <v>4449.380000000001</v>
      </c>
      <c r="P60">
        <v>12878.710000000001</v>
      </c>
      <c r="Q60" t="s">
        <v>76</v>
      </c>
      <c r="S60">
        <v>102</v>
      </c>
      <c r="T60">
        <v>0</v>
      </c>
      <c r="U60">
        <v>20</v>
      </c>
      <c r="V60" t="s">
        <v>76</v>
      </c>
      <c r="W60" t="s">
        <v>89</v>
      </c>
      <c r="X60" t="s">
        <v>90</v>
      </c>
      <c r="Y60" t="s">
        <v>113</v>
      </c>
      <c r="Z60">
        <v>0</v>
      </c>
      <c r="AA60" s="11"/>
      <c r="AB60" s="11"/>
      <c r="AC60" s="11"/>
      <c r="AD60" s="11"/>
      <c r="AE60" s="11"/>
      <c r="AF60" s="11"/>
      <c r="AG60" s="11"/>
      <c r="AH60" s="11"/>
      <c r="AI60" s="11"/>
      <c r="AJ60" s="11"/>
      <c r="AK60" s="11"/>
      <c r="AL60" s="11"/>
      <c r="AM60" s="11" t="s">
        <v>77</v>
      </c>
      <c r="AN60" t="s">
        <v>64</v>
      </c>
      <c r="AO60" t="s">
        <v>64</v>
      </c>
      <c r="AP60">
        <v>0</v>
      </c>
      <c r="AQ60">
        <v>0</v>
      </c>
      <c r="AR60">
        <v>0</v>
      </c>
      <c r="AS60">
        <v>100</v>
      </c>
      <c r="AT60">
        <v>0</v>
      </c>
      <c r="AU60">
        <v>0</v>
      </c>
      <c r="AV60">
        <v>0</v>
      </c>
      <c r="AW60">
        <v>0</v>
      </c>
      <c r="AX60">
        <v>4449.380000000001</v>
      </c>
      <c r="AY60">
        <v>0</v>
      </c>
      <c r="AZ60" t="s">
        <v>76</v>
      </c>
      <c r="BB60">
        <v>0</v>
      </c>
      <c r="BC60" t="s">
        <v>118</v>
      </c>
      <c r="BD60" s="22">
        <v>30</v>
      </c>
      <c r="BE60" s="22"/>
      <c r="BF60" s="22">
        <v>30</v>
      </c>
      <c r="BG60" s="22"/>
      <c r="BH60" s="22">
        <v>5</v>
      </c>
      <c r="BI60" s="22"/>
      <c r="BJ60" s="22"/>
      <c r="BK60" s="22" t="s">
        <v>118</v>
      </c>
      <c r="BL60" t="s">
        <v>63</v>
      </c>
      <c r="BN60" s="22" t="s">
        <v>77</v>
      </c>
      <c r="BO60" s="22"/>
      <c r="BX60" t="s">
        <v>77</v>
      </c>
      <c r="BY60" t="s">
        <v>90</v>
      </c>
      <c r="CA60" t="s">
        <v>76</v>
      </c>
      <c r="CC60" t="s">
        <v>77</v>
      </c>
      <c r="CE60" t="s">
        <v>77</v>
      </c>
    </row>
    <row r="61" spans="1:83" x14ac:dyDescent="0.25">
      <c r="A61">
        <v>2110</v>
      </c>
      <c r="B61" t="s">
        <v>59</v>
      </c>
      <c r="C61" t="s">
        <v>54</v>
      </c>
      <c r="D61" t="s">
        <v>212</v>
      </c>
      <c r="E61">
        <v>40000</v>
      </c>
      <c r="F61">
        <v>66000</v>
      </c>
      <c r="G61" t="s">
        <v>65</v>
      </c>
      <c r="H61">
        <f t="shared" si="0"/>
        <v>66000</v>
      </c>
      <c r="I61">
        <v>15</v>
      </c>
      <c r="J61">
        <v>85</v>
      </c>
      <c r="K61">
        <v>0</v>
      </c>
      <c r="L61">
        <v>0</v>
      </c>
      <c r="M61">
        <v>9900</v>
      </c>
      <c r="N61">
        <v>56100</v>
      </c>
      <c r="O61">
        <v>0</v>
      </c>
      <c r="P61">
        <v>0</v>
      </c>
      <c r="Q61" t="s">
        <v>76</v>
      </c>
      <c r="S61">
        <v>34</v>
      </c>
      <c r="V61" t="s">
        <v>76</v>
      </c>
      <c r="W61" t="s">
        <v>89</v>
      </c>
      <c r="X61" t="s">
        <v>89</v>
      </c>
      <c r="Z61">
        <v>9900</v>
      </c>
      <c r="AA61">
        <v>0</v>
      </c>
      <c r="AB61">
        <v>10</v>
      </c>
      <c r="AC61">
        <v>85</v>
      </c>
      <c r="AD61">
        <v>2</v>
      </c>
      <c r="AE61">
        <v>2</v>
      </c>
      <c r="AF61">
        <v>1</v>
      </c>
      <c r="AG61">
        <v>0</v>
      </c>
      <c r="AH61">
        <v>990</v>
      </c>
      <c r="AI61">
        <v>8415</v>
      </c>
      <c r="AJ61">
        <v>198</v>
      </c>
      <c r="AK61">
        <v>198</v>
      </c>
      <c r="AL61">
        <v>99</v>
      </c>
      <c r="AM61" s="18" t="s">
        <v>76</v>
      </c>
      <c r="AO61" t="s">
        <v>63</v>
      </c>
      <c r="AP61" s="11"/>
      <c r="AQ61" s="11"/>
      <c r="AR61" s="11"/>
      <c r="AS61" s="11"/>
      <c r="AT61" s="11"/>
      <c r="AU61" s="11"/>
      <c r="AV61" s="11"/>
      <c r="AW61" s="11"/>
      <c r="AX61" s="11"/>
      <c r="AY61" s="11"/>
      <c r="AZ61" s="11" t="s">
        <v>77</v>
      </c>
      <c r="BC61" t="s">
        <v>77</v>
      </c>
      <c r="BD61" s="22"/>
      <c r="BE61" s="22"/>
      <c r="BF61" s="22"/>
      <c r="BG61" s="22"/>
      <c r="BH61" s="22"/>
      <c r="BI61" s="22"/>
      <c r="BJ61" s="22"/>
      <c r="BK61" s="22" t="s">
        <v>77</v>
      </c>
      <c r="BL61" t="s">
        <v>77</v>
      </c>
      <c r="BN61" s="22" t="s">
        <v>77</v>
      </c>
      <c r="BO61" s="22"/>
      <c r="BX61" t="s">
        <v>77</v>
      </c>
      <c r="BY61" t="s">
        <v>77</v>
      </c>
      <c r="CA61" t="s">
        <v>201</v>
      </c>
      <c r="CC61" t="s">
        <v>77</v>
      </c>
      <c r="CE61" t="s">
        <v>77</v>
      </c>
    </row>
    <row r="62" spans="1:83" ht="15.75" thickBot="1" x14ac:dyDescent="0.3"/>
    <row r="63" spans="1:83" x14ac:dyDescent="0.25">
      <c r="A63" s="14" t="s">
        <v>12</v>
      </c>
      <c r="B63" s="14" t="s">
        <v>62</v>
      </c>
      <c r="C63" s="16" t="s">
        <v>85</v>
      </c>
      <c r="D63" s="16" t="s">
        <v>209</v>
      </c>
      <c r="E63" s="13" t="s">
        <v>84</v>
      </c>
      <c r="F63" t="s">
        <v>83</v>
      </c>
      <c r="G63" t="s">
        <v>86</v>
      </c>
      <c r="I63" t="s">
        <v>67</v>
      </c>
      <c r="J63" t="s">
        <v>68</v>
      </c>
      <c r="K63" t="s">
        <v>69</v>
      </c>
      <c r="L63" t="s">
        <v>70</v>
      </c>
      <c r="M63" t="s">
        <v>71</v>
      </c>
      <c r="N63" t="s">
        <v>72</v>
      </c>
      <c r="O63" t="s">
        <v>73</v>
      </c>
      <c r="P63" t="s">
        <v>74</v>
      </c>
      <c r="Q63" t="s">
        <v>81</v>
      </c>
      <c r="R63" t="s">
        <v>75</v>
      </c>
      <c r="S63" t="s">
        <v>78</v>
      </c>
      <c r="T63" t="s">
        <v>79</v>
      </c>
      <c r="U63" t="s">
        <v>80</v>
      </c>
      <c r="V63" t="s">
        <v>62</v>
      </c>
      <c r="W63" t="s">
        <v>114</v>
      </c>
      <c r="X63" t="s">
        <v>115</v>
      </c>
      <c r="Y63" t="s">
        <v>117</v>
      </c>
      <c r="AA63" s="30" t="s">
        <v>119</v>
      </c>
      <c r="AB63" s="31" t="s">
        <v>120</v>
      </c>
      <c r="AC63" s="31" t="s">
        <v>121</v>
      </c>
      <c r="AD63" s="31" t="s">
        <v>122</v>
      </c>
      <c r="AE63" s="31" t="s">
        <v>123</v>
      </c>
      <c r="AF63" s="32" t="s">
        <v>124</v>
      </c>
      <c r="AG63" t="s">
        <v>125</v>
      </c>
      <c r="AH63" t="s">
        <v>126</v>
      </c>
      <c r="AI63" t="s">
        <v>127</v>
      </c>
      <c r="AJ63" t="s">
        <v>128</v>
      </c>
      <c r="AK63" t="s">
        <v>129</v>
      </c>
      <c r="AL63" t="s">
        <v>130</v>
      </c>
      <c r="AM63" t="s">
        <v>132</v>
      </c>
      <c r="AN63" t="s">
        <v>133</v>
      </c>
      <c r="AO63" s="18" t="s">
        <v>135</v>
      </c>
      <c r="AP63" s="20" t="s">
        <v>119</v>
      </c>
      <c r="AQ63" s="20" t="s">
        <v>120</v>
      </c>
      <c r="AR63" s="20" t="s">
        <v>139</v>
      </c>
      <c r="AS63" s="20" t="s">
        <v>140</v>
      </c>
      <c r="AT63" s="20" t="s">
        <v>124</v>
      </c>
      <c r="AU63" s="20" t="s">
        <v>141</v>
      </c>
      <c r="AV63" s="20" t="s">
        <v>142</v>
      </c>
      <c r="AW63" s="20" t="s">
        <v>143</v>
      </c>
      <c r="AX63" s="20" t="s">
        <v>144</v>
      </c>
      <c r="AY63" s="20" t="s">
        <v>145</v>
      </c>
      <c r="AZ63" s="21" t="s">
        <v>146</v>
      </c>
      <c r="BA63" s="18" t="s">
        <v>138</v>
      </c>
      <c r="BB63" t="s">
        <v>148</v>
      </c>
      <c r="BC63" t="s">
        <v>146</v>
      </c>
      <c r="BD63" s="22" t="s">
        <v>150</v>
      </c>
      <c r="BE63" s="22" t="s">
        <v>151</v>
      </c>
      <c r="BF63" s="22" t="s">
        <v>152</v>
      </c>
      <c r="BG63" s="22" t="s">
        <v>153</v>
      </c>
      <c r="BH63" s="22" t="s">
        <v>154</v>
      </c>
      <c r="BI63" s="22" t="s">
        <v>155</v>
      </c>
      <c r="BJ63" s="22" t="s">
        <v>156</v>
      </c>
      <c r="BK63" s="22" t="s">
        <v>146</v>
      </c>
      <c r="BL63" t="s">
        <v>161</v>
      </c>
      <c r="BN63" s="28" t="s">
        <v>164</v>
      </c>
      <c r="BO63" s="28" t="s">
        <v>165</v>
      </c>
      <c r="BP63" t="s">
        <v>167</v>
      </c>
      <c r="BQ63" t="s">
        <v>168</v>
      </c>
      <c r="BR63" t="s">
        <v>169</v>
      </c>
      <c r="BS63" t="s">
        <v>170</v>
      </c>
      <c r="BT63" t="s">
        <v>171</v>
      </c>
      <c r="BU63" t="s">
        <v>172</v>
      </c>
      <c r="BW63" t="s">
        <v>195</v>
      </c>
      <c r="BX63" t="s">
        <v>163</v>
      </c>
      <c r="BY63" t="s">
        <v>175</v>
      </c>
      <c r="BZ63" t="s">
        <v>177</v>
      </c>
      <c r="CA63" t="s">
        <v>163</v>
      </c>
      <c r="CB63" t="s">
        <v>179</v>
      </c>
      <c r="CC63" t="s">
        <v>146</v>
      </c>
      <c r="CD63" t="s">
        <v>178</v>
      </c>
      <c r="CE63" t="s">
        <v>146</v>
      </c>
    </row>
    <row r="64" spans="1:83" x14ac:dyDescent="0.25">
      <c r="AA64" s="40"/>
      <c r="AB64" s="23"/>
      <c r="AC64" s="23"/>
      <c r="AD64" s="23"/>
      <c r="AE64" s="23"/>
      <c r="AF64" s="39"/>
    </row>
    <row r="65" spans="5:82" x14ac:dyDescent="0.25">
      <c r="E65">
        <f>AVERAGE(E3:E61)</f>
        <v>215762.43103448275</v>
      </c>
      <c r="F65">
        <f t="shared" ref="F65:BO65" si="8">AVERAGE(F3:F61)</f>
        <v>162093.38293103446</v>
      </c>
      <c r="G65" t="s">
        <v>180</v>
      </c>
      <c r="H65">
        <f t="shared" si="8"/>
        <v>135196.08830508476</v>
      </c>
      <c r="I65">
        <f t="shared" si="8"/>
        <v>9.0943979600151597</v>
      </c>
      <c r="J65">
        <f t="shared" si="8"/>
        <v>79.328455384444524</v>
      </c>
      <c r="K65">
        <f t="shared" si="8"/>
        <v>5.634598032261934</v>
      </c>
      <c r="L65">
        <f t="shared" si="8"/>
        <v>5.9425486232783964</v>
      </c>
      <c r="M65">
        <f t="shared" si="8"/>
        <v>6703.6795666596572</v>
      </c>
      <c r="N65">
        <f t="shared" si="8"/>
        <v>137172.15160850366</v>
      </c>
      <c r="O65">
        <f t="shared" si="8"/>
        <v>5954.7486914752872</v>
      </c>
      <c r="P65">
        <f t="shared" si="8"/>
        <v>6572.7379764986699</v>
      </c>
      <c r="Q65" t="e">
        <f t="shared" si="8"/>
        <v>#DIV/0!</v>
      </c>
      <c r="R65" t="e">
        <f t="shared" si="8"/>
        <v>#DIV/0!</v>
      </c>
      <c r="S65">
        <f t="shared" si="8"/>
        <v>50.96</v>
      </c>
      <c r="T65">
        <f t="shared" si="8"/>
        <v>29.9837037037037</v>
      </c>
      <c r="U65">
        <f t="shared" si="8"/>
        <v>30.211818181818181</v>
      </c>
      <c r="V65" t="s">
        <v>64</v>
      </c>
      <c r="W65">
        <f>COUNTIF(W3:W61,"YES")</f>
        <v>47</v>
      </c>
      <c r="X65">
        <f>COUNTIF(X3:X61,"YES")</f>
        <v>35</v>
      </c>
      <c r="Y65">
        <v>14317.501630475759</v>
      </c>
      <c r="AA65" s="40">
        <f t="shared" si="8"/>
        <v>3.4545636284592862</v>
      </c>
      <c r="AB65" s="23">
        <f t="shared" si="8"/>
        <v>4.7603899860208045</v>
      </c>
      <c r="AC65" s="23">
        <f t="shared" si="8"/>
        <v>32.145640183478257</v>
      </c>
      <c r="AD65" s="23">
        <f t="shared" si="8"/>
        <v>9.3538971285521662</v>
      </c>
      <c r="AE65" s="23">
        <f t="shared" si="8"/>
        <v>38.599430818460348</v>
      </c>
      <c r="AF65" s="39">
        <f t="shared" si="8"/>
        <v>11.686078255029139</v>
      </c>
      <c r="AG65">
        <f t="shared" si="8"/>
        <v>57.392508885743261</v>
      </c>
      <c r="AH65">
        <f t="shared" si="8"/>
        <v>257.57294259468597</v>
      </c>
      <c r="AI65">
        <f t="shared" si="8"/>
        <v>2687.7053121470462</v>
      </c>
      <c r="AJ65">
        <f t="shared" si="8"/>
        <v>1998.036574661867</v>
      </c>
      <c r="AK65">
        <f t="shared" si="8"/>
        <v>3713.110544309628</v>
      </c>
      <c r="AL65">
        <f t="shared" si="8"/>
        <v>365.29732132030085</v>
      </c>
      <c r="AN65" t="s">
        <v>64</v>
      </c>
      <c r="AO65">
        <f>COUNTIF(AO3:AO61,"YES")</f>
        <v>35</v>
      </c>
      <c r="AP65">
        <f t="shared" si="8"/>
        <v>4.5542987278472102</v>
      </c>
      <c r="AQ65">
        <f t="shared" si="8"/>
        <v>5.2521978699249718</v>
      </c>
      <c r="AR65">
        <f t="shared" si="8"/>
        <v>17.946105771870641</v>
      </c>
      <c r="AS65">
        <f t="shared" si="8"/>
        <v>66.909686982470518</v>
      </c>
      <c r="AT65">
        <f t="shared" si="8"/>
        <v>5.3377106478866496</v>
      </c>
      <c r="AU65">
        <f t="shared" si="8"/>
        <v>376.92493644332819</v>
      </c>
      <c r="AV65">
        <f t="shared" si="8"/>
        <v>681.30356004384123</v>
      </c>
      <c r="AW65">
        <f t="shared" si="8"/>
        <v>1497.5617414002957</v>
      </c>
      <c r="AX65">
        <f t="shared" si="8"/>
        <v>4429.53349078265</v>
      </c>
      <c r="AY65">
        <f t="shared" si="8"/>
        <v>200.23112840412421</v>
      </c>
      <c r="BA65" t="e">
        <f t="shared" si="8"/>
        <v>#DIV/0!</v>
      </c>
      <c r="BB65">
        <f t="shared" si="8"/>
        <v>698.02387096774191</v>
      </c>
      <c r="BC65" t="s">
        <v>229</v>
      </c>
      <c r="BD65">
        <f t="shared" si="8"/>
        <v>10.474166666666667</v>
      </c>
      <c r="BE65">
        <f t="shared" si="8"/>
        <v>5472.5</v>
      </c>
      <c r="BF65">
        <f t="shared" si="8"/>
        <v>9.6363636363636367</v>
      </c>
      <c r="BG65">
        <f t="shared" si="8"/>
        <v>106.33333333333333</v>
      </c>
      <c r="BH65">
        <f t="shared" si="8"/>
        <v>8</v>
      </c>
      <c r="BI65">
        <f t="shared" si="8"/>
        <v>916.66666666666663</v>
      </c>
      <c r="BK65" t="s">
        <v>158</v>
      </c>
      <c r="BL65">
        <f>COUNTIF(BL3:BL61,"OTHER")</f>
        <v>5</v>
      </c>
      <c r="BM65" t="s">
        <v>64</v>
      </c>
      <c r="BN65">
        <f>COUNTIF(BN3:BN61,"YES")</f>
        <v>6</v>
      </c>
      <c r="BO65">
        <f t="shared" si="8"/>
        <v>0</v>
      </c>
      <c r="BX65" t="s">
        <v>64</v>
      </c>
      <c r="BY65">
        <f>COUNTIF(BY3:BY61,"YES")</f>
        <v>5</v>
      </c>
      <c r="BZ65">
        <f t="shared" ref="BZ65:CD65" si="9">AVERAGE(BZ3:BZ61)</f>
        <v>2472.9499999999998</v>
      </c>
      <c r="CB65">
        <f t="shared" si="9"/>
        <v>2472.9499999999998</v>
      </c>
      <c r="CD65">
        <f t="shared" si="9"/>
        <v>51.201514148137335</v>
      </c>
    </row>
    <row r="66" spans="5:82" x14ac:dyDescent="0.25">
      <c r="G66" t="s">
        <v>118</v>
      </c>
      <c r="H66">
        <f>SUM(H3:H61)</f>
        <v>7976569.2100000009</v>
      </c>
      <c r="M66">
        <f>SUM(M3:M61)</f>
        <v>341887.65789964254</v>
      </c>
      <c r="N66">
        <f t="shared" ref="N66:P66" si="10">SUM(N3:N61)</f>
        <v>6995779.7320336858</v>
      </c>
      <c r="O66">
        <f t="shared" si="10"/>
        <v>303692.18326523964</v>
      </c>
      <c r="P66">
        <f t="shared" si="10"/>
        <v>335209.63680143218</v>
      </c>
      <c r="V66" t="s">
        <v>63</v>
      </c>
      <c r="W66">
        <f>COUNTIF(W3:W61,"NO")</f>
        <v>10</v>
      </c>
      <c r="X66">
        <f>COUNTIF(X3:X61,"NO")</f>
        <v>10</v>
      </c>
      <c r="AA66" s="40">
        <v>3.4500000000000003E-2</v>
      </c>
      <c r="AB66" s="23">
        <v>4.7600000000000003E-2</v>
      </c>
      <c r="AC66" s="23">
        <v>0.32140000000000002</v>
      </c>
      <c r="AD66" s="23">
        <v>9.35E-2</v>
      </c>
      <c r="AE66" s="23">
        <v>0.38600000000000001</v>
      </c>
      <c r="AF66" s="39">
        <v>0.1168</v>
      </c>
      <c r="AN66" t="s">
        <v>134</v>
      </c>
      <c r="AO66">
        <f>COUNTIF(AO3:AO61,"TWO")</f>
        <v>4</v>
      </c>
      <c r="AT66" t="s">
        <v>289</v>
      </c>
      <c r="AU66">
        <f>SUM(AU3:AU61)</f>
        <v>8669.2735381965485</v>
      </c>
      <c r="AV66">
        <f t="shared" ref="AV66:AY66" si="11">SUM(AV3:AV61)</f>
        <v>15669.981881008347</v>
      </c>
      <c r="AW66">
        <f t="shared" si="11"/>
        <v>34443.920052206799</v>
      </c>
      <c r="AX66">
        <f t="shared" si="11"/>
        <v>101879.27028800095</v>
      </c>
      <c r="AY66">
        <f t="shared" si="11"/>
        <v>4605.3159532948566</v>
      </c>
      <c r="AZ66">
        <f>SUM(AT66:AY66)</f>
        <v>165267.76171270752</v>
      </c>
      <c r="BA66" t="s">
        <v>226</v>
      </c>
      <c r="BB66">
        <f>AVERAGEIF(BB3:BB61,"&gt;0")</f>
        <v>1967.1581818181817</v>
      </c>
      <c r="BC66" t="s">
        <v>226</v>
      </c>
      <c r="BD66">
        <f>AVERAGEIF(BD3:BD61,"&gt;0")</f>
        <v>17.955714285714286</v>
      </c>
      <c r="BE66">
        <f t="shared" ref="BE66:BI66" si="12">AVERAGEIF(BE3:BE61,"&gt;0")</f>
        <v>10945</v>
      </c>
      <c r="BF66">
        <f t="shared" si="12"/>
        <v>21.2</v>
      </c>
      <c r="BG66">
        <f t="shared" si="12"/>
        <v>319</v>
      </c>
      <c r="BH66">
        <f t="shared" si="12"/>
        <v>21.333333333333332</v>
      </c>
      <c r="BI66">
        <f t="shared" si="12"/>
        <v>2750</v>
      </c>
      <c r="BK66" t="s">
        <v>63</v>
      </c>
      <c r="BL66">
        <f>COUNTIF(BL3:BL61,"NO")</f>
        <v>29</v>
      </c>
      <c r="BM66" t="s">
        <v>63</v>
      </c>
      <c r="BO66">
        <f>COUNTA(BO3:BO61)</f>
        <v>6</v>
      </c>
      <c r="BX66" t="s">
        <v>63</v>
      </c>
      <c r="BY66">
        <f>COUNTIF(BY3:BY61,"NO")</f>
        <v>39</v>
      </c>
    </row>
    <row r="67" spans="5:82" ht="15.75" thickBot="1" x14ac:dyDescent="0.3">
      <c r="M67">
        <f>(M66/$H66)</f>
        <v>4.2861492064912764E-2</v>
      </c>
      <c r="N67">
        <f t="shared" ref="N67:P67" si="13">(N66/$H66)</f>
        <v>0.87704118748988891</v>
      </c>
      <c r="O67">
        <f t="shared" si="13"/>
        <v>3.8073033063451549E-2</v>
      </c>
      <c r="P67">
        <f t="shared" si="13"/>
        <v>4.202428738174669E-2</v>
      </c>
      <c r="V67" t="s">
        <v>183</v>
      </c>
      <c r="W67">
        <f>SUM(W65:W66)</f>
        <v>57</v>
      </c>
      <c r="X67">
        <f>SUM(X65:X66)</f>
        <v>45</v>
      </c>
      <c r="AA67" s="33">
        <f>$Y$65*AA66</f>
        <v>493.95380625141371</v>
      </c>
      <c r="AB67" s="34">
        <f t="shared" ref="AB67:AF67" si="14">$Y$65*AB66</f>
        <v>681.51307761064618</v>
      </c>
      <c r="AC67" s="34">
        <f t="shared" si="14"/>
        <v>4601.6450240349095</v>
      </c>
      <c r="AD67" s="34">
        <f t="shared" si="14"/>
        <v>1338.6864024494835</v>
      </c>
      <c r="AE67" s="34">
        <f t="shared" si="14"/>
        <v>5526.5556293636428</v>
      </c>
      <c r="AF67" s="35">
        <f t="shared" si="14"/>
        <v>1672.2841904395686</v>
      </c>
      <c r="AN67" t="s">
        <v>63</v>
      </c>
      <c r="AO67">
        <f>COUNTIF(AO3:AO61,"NO")</f>
        <v>18</v>
      </c>
      <c r="AU67">
        <f>AU66/AZ66</f>
        <v>5.2455926360682137E-2</v>
      </c>
      <c r="AV67">
        <f>AV66/AZ66</f>
        <v>9.481572037169711E-2</v>
      </c>
      <c r="AW67">
        <f>AW66/AZ66</f>
        <v>0.20841281866019482</v>
      </c>
      <c r="AX67">
        <f>AX66/AZ66</f>
        <v>0.61644974937763319</v>
      </c>
      <c r="AY67">
        <f>AY66/AZ66</f>
        <v>2.7865785229792651E-2</v>
      </c>
      <c r="AZ67">
        <f>SUM(AU67:AY67)</f>
        <v>0.99999999999999989</v>
      </c>
      <c r="BK67" t="s">
        <v>183</v>
      </c>
      <c r="BL67">
        <f>SUM(BL65:BL66)</f>
        <v>34</v>
      </c>
      <c r="BX67" t="s">
        <v>183</v>
      </c>
      <c r="BY67">
        <f>BY65+BY66</f>
        <v>44</v>
      </c>
    </row>
    <row r="68" spans="5:82" x14ac:dyDescent="0.25">
      <c r="M68">
        <f>$H65*M67</f>
        <v>5794.7060660956358</v>
      </c>
      <c r="N68">
        <f t="shared" ref="N68:P68" si="15">$H65*N67</f>
        <v>118572.53783107942</v>
      </c>
      <c r="O68">
        <f t="shared" si="15"/>
        <v>5147.3251400888075</v>
      </c>
      <c r="P68">
        <f t="shared" si="15"/>
        <v>5681.519267820885</v>
      </c>
      <c r="V68" t="s">
        <v>216</v>
      </c>
      <c r="W68" s="38">
        <f>W65/W67</f>
        <v>0.82456140350877194</v>
      </c>
      <c r="X68" s="38">
        <f>X65/X67</f>
        <v>0.77777777777777779</v>
      </c>
      <c r="AN68" t="s">
        <v>183</v>
      </c>
      <c r="AO68">
        <f>SUM(AO65:AO67)</f>
        <v>57</v>
      </c>
      <c r="AT68" t="s">
        <v>291</v>
      </c>
      <c r="AU68" s="59">
        <f>AS69*AU67</f>
        <v>270.00770850298636</v>
      </c>
      <c r="AV68" s="59">
        <f>AV67*AS69</f>
        <v>488.047341144867</v>
      </c>
      <c r="AW68" s="59">
        <f>AW67*AS69</f>
        <v>1072.7685410063905</v>
      </c>
      <c r="AX68" s="59">
        <f>AX67*AS69</f>
        <v>3173.0672925729359</v>
      </c>
      <c r="AY68" s="59">
        <f>AY67*AS69</f>
        <v>143.43425686162709</v>
      </c>
      <c r="BK68" t="s">
        <v>228</v>
      </c>
      <c r="BL68">
        <f>BL65/BL67</f>
        <v>0.14705882352941177</v>
      </c>
      <c r="BX68" t="s">
        <v>216</v>
      </c>
      <c r="BY68">
        <f>BY65/BY67</f>
        <v>0.11363636363636363</v>
      </c>
    </row>
    <row r="69" spans="5:82" x14ac:dyDescent="0.25">
      <c r="AR69" t="s">
        <v>290</v>
      </c>
      <c r="AS69">
        <v>5147.3251400888075</v>
      </c>
    </row>
    <row r="70" spans="5:82" x14ac:dyDescent="0.25">
      <c r="Y70" t="s">
        <v>267</v>
      </c>
      <c r="Z70">
        <f>SUM(Z3:Z61)</f>
        <v>208819.64969014327</v>
      </c>
      <c r="AF70" t="s">
        <v>271</v>
      </c>
      <c r="AG70">
        <f>SUM(AG3:AG61)</f>
        <v>1320.0277043720951</v>
      </c>
      <c r="AH70">
        <f t="shared" ref="AH70:AL70" si="16">SUM(AH3:AH61)</f>
        <v>5924.1776796777767</v>
      </c>
      <c r="AI70">
        <f t="shared" si="16"/>
        <v>61817.222179382064</v>
      </c>
      <c r="AJ70">
        <f t="shared" si="16"/>
        <v>45954.841217222944</v>
      </c>
      <c r="AK70">
        <f t="shared" si="16"/>
        <v>85401.542519121445</v>
      </c>
      <c r="AL70">
        <f t="shared" si="16"/>
        <v>8401.8383903669201</v>
      </c>
      <c r="AN70" t="s">
        <v>216</v>
      </c>
      <c r="AO70">
        <f>AO65/AO68</f>
        <v>0.61403508771929827</v>
      </c>
    </row>
    <row r="71" spans="5:82" x14ac:dyDescent="0.25">
      <c r="AG71">
        <f>AG70/$Z70</f>
        <v>6.3213768739235803E-3</v>
      </c>
      <c r="AH71">
        <f t="shared" ref="AH71:AL71" si="17">AH70/$Z70</f>
        <v>2.8369828646242625E-2</v>
      </c>
      <c r="AI71">
        <f t="shared" si="17"/>
        <v>0.29603163433666063</v>
      </c>
      <c r="AJ71">
        <f t="shared" si="17"/>
        <v>0.22006952547527481</v>
      </c>
      <c r="AK71">
        <f t="shared" si="17"/>
        <v>0.40897273147351987</v>
      </c>
      <c r="AL71">
        <f t="shared" si="17"/>
        <v>4.0234903194378384E-2</v>
      </c>
      <c r="AN71" t="s">
        <v>218</v>
      </c>
      <c r="AO71">
        <f>AO66/AO68</f>
        <v>7.0175438596491224E-2</v>
      </c>
    </row>
    <row r="72" spans="5:82" x14ac:dyDescent="0.25">
      <c r="AF72" t="s">
        <v>270</v>
      </c>
      <c r="AG72">
        <f>AG71*$M68</f>
        <v>36.63052091740164</v>
      </c>
      <c r="AH72">
        <f t="shared" ref="AH72:AL72" si="18">AH71*$M68</f>
        <v>164.39481815047588</v>
      </c>
      <c r="AI72">
        <f t="shared" si="18"/>
        <v>1715.4163072468525</v>
      </c>
      <c r="AJ72">
        <f t="shared" si="18"/>
        <v>1275.2382142343629</v>
      </c>
      <c r="AK72">
        <f t="shared" si="18"/>
        <v>2369.8767679373072</v>
      </c>
      <c r="AL72">
        <f t="shared" si="18"/>
        <v>233.14943760923509</v>
      </c>
      <c r="AN72" t="s">
        <v>222</v>
      </c>
      <c r="AO72">
        <f>AO67/AO68</f>
        <v>0.31578947368421051</v>
      </c>
    </row>
    <row r="75" spans="5:82" x14ac:dyDescent="0.25">
      <c r="AP75">
        <v>8841.2580657744056</v>
      </c>
    </row>
  </sheetData>
  <mergeCells count="10">
    <mergeCell ref="BB1:BC1"/>
    <mergeCell ref="BD1:BK1"/>
    <mergeCell ref="BP1:BX1"/>
    <mergeCell ref="BZ1:CD1"/>
    <mergeCell ref="F1:H1"/>
    <mergeCell ref="I1:R1"/>
    <mergeCell ref="S1:V1"/>
    <mergeCell ref="W1:Y1"/>
    <mergeCell ref="AA1:AN1"/>
    <mergeCell ref="AP1:BA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J32" sqref="J32"/>
    </sheetView>
  </sheetViews>
  <sheetFormatPr defaultColWidth="8.85546875" defaultRowHeight="15" x14ac:dyDescent="0.25"/>
  <cols>
    <col min="2" max="2" width="15.7109375" bestFit="1" customWidth="1"/>
    <col min="3" max="3" width="15.85546875" bestFit="1" customWidth="1"/>
    <col min="4" max="4" width="11.140625" bestFit="1" customWidth="1"/>
  </cols>
  <sheetData>
    <row r="1" spans="2:4" x14ac:dyDescent="0.25">
      <c r="B1" s="287" t="s">
        <v>8</v>
      </c>
      <c r="C1" s="288"/>
      <c r="D1" s="289"/>
    </row>
    <row r="2" spans="2:4" x14ac:dyDescent="0.25">
      <c r="B2" s="3" t="s">
        <v>9</v>
      </c>
      <c r="C2" s="1" t="s">
        <v>10</v>
      </c>
      <c r="D2" s="4" t="s">
        <v>11</v>
      </c>
    </row>
    <row r="3" spans="2:4" x14ac:dyDescent="0.25">
      <c r="B3" s="5" t="s">
        <v>0</v>
      </c>
      <c r="C3" s="2">
        <v>416.53</v>
      </c>
      <c r="D3" s="6" t="s">
        <v>3</v>
      </c>
    </row>
    <row r="4" spans="2:4" x14ac:dyDescent="0.25">
      <c r="B4" s="5" t="s">
        <v>1</v>
      </c>
      <c r="C4" s="2">
        <v>169</v>
      </c>
      <c r="D4" s="6" t="s">
        <v>4</v>
      </c>
    </row>
    <row r="5" spans="2:4" x14ac:dyDescent="0.25">
      <c r="B5" s="5" t="s">
        <v>2</v>
      </c>
      <c r="C5" s="2">
        <v>169</v>
      </c>
      <c r="D5" s="6" t="s">
        <v>5</v>
      </c>
    </row>
    <row r="6" spans="2:4" ht="15.75" thickBot="1" x14ac:dyDescent="0.3">
      <c r="B6" s="7" t="s">
        <v>6</v>
      </c>
      <c r="C6" s="8">
        <v>127</v>
      </c>
      <c r="D6" s="9" t="s">
        <v>7</v>
      </c>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topLeftCell="A88" workbookViewId="0">
      <selection activeCell="L102" sqref="L102"/>
    </sheetView>
  </sheetViews>
  <sheetFormatPr defaultColWidth="11.42578125" defaultRowHeight="15" x14ac:dyDescent="0.25"/>
  <cols>
    <col min="2" max="2" width="16.28515625" bestFit="1" customWidth="1"/>
    <col min="3" max="3" width="12.42578125" bestFit="1" customWidth="1"/>
  </cols>
  <sheetData>
    <row r="1" spans="1:13" s="90" customFormat="1" ht="15.75" thickBot="1" x14ac:dyDescent="0.3">
      <c r="A1" s="90" t="s">
        <v>12</v>
      </c>
      <c r="B1" s="90" t="s">
        <v>297</v>
      </c>
      <c r="C1" s="161" t="s">
        <v>119</v>
      </c>
      <c r="D1" s="162" t="s">
        <v>120</v>
      </c>
      <c r="E1" s="162" t="s">
        <v>139</v>
      </c>
      <c r="F1" s="162" t="s">
        <v>140</v>
      </c>
      <c r="G1" s="162" t="s">
        <v>124</v>
      </c>
      <c r="H1" s="162" t="s">
        <v>141</v>
      </c>
      <c r="I1" s="162" t="s">
        <v>142</v>
      </c>
      <c r="J1" s="162" t="s">
        <v>143</v>
      </c>
      <c r="K1" s="162" t="s">
        <v>144</v>
      </c>
      <c r="L1" s="162" t="s">
        <v>145</v>
      </c>
      <c r="M1" s="16" t="s">
        <v>209</v>
      </c>
    </row>
    <row r="2" spans="1:13" x14ac:dyDescent="0.25">
      <c r="A2">
        <v>250</v>
      </c>
      <c r="C2" s="98"/>
      <c r="D2" s="99"/>
      <c r="E2" s="99"/>
      <c r="F2" s="99"/>
      <c r="G2" s="99"/>
      <c r="H2" s="99"/>
      <c r="I2" s="99"/>
      <c r="J2" s="99"/>
      <c r="K2" s="99"/>
      <c r="L2" s="99"/>
      <c r="M2" t="s">
        <v>210</v>
      </c>
    </row>
    <row r="3" spans="1:13" x14ac:dyDescent="0.25">
      <c r="A3">
        <v>698</v>
      </c>
      <c r="B3">
        <f t="shared" ref="B3:B68" si="0">SUM(H3:L3)</f>
        <v>1628.118797439291</v>
      </c>
      <c r="C3" s="40">
        <v>15</v>
      </c>
      <c r="D3" s="23">
        <v>10</v>
      </c>
      <c r="E3" s="23">
        <v>30</v>
      </c>
      <c r="F3" s="23">
        <v>45</v>
      </c>
      <c r="G3" s="23">
        <v>0</v>
      </c>
      <c r="H3" s="23">
        <v>244.21781961589363</v>
      </c>
      <c r="I3" s="23">
        <v>162.8118797439291</v>
      </c>
      <c r="J3" s="23">
        <v>488.43563923178726</v>
      </c>
      <c r="K3" s="23">
        <v>732.65345884768101</v>
      </c>
      <c r="L3" s="23">
        <v>0</v>
      </c>
      <c r="M3" t="s">
        <v>212</v>
      </c>
    </row>
    <row r="4" spans="1:13" x14ac:dyDescent="0.25">
      <c r="A4">
        <v>862</v>
      </c>
      <c r="B4">
        <f t="shared" si="0"/>
        <v>28978.000000000004</v>
      </c>
      <c r="C4" s="40">
        <v>0</v>
      </c>
      <c r="D4" s="23">
        <v>0</v>
      </c>
      <c r="E4" s="23">
        <v>0</v>
      </c>
      <c r="F4" s="23">
        <v>100</v>
      </c>
      <c r="G4" s="23">
        <v>0</v>
      </c>
      <c r="H4" s="23">
        <v>0</v>
      </c>
      <c r="I4" s="23">
        <v>0</v>
      </c>
      <c r="J4" s="23">
        <v>0</v>
      </c>
      <c r="K4" s="23">
        <v>28978.000000000004</v>
      </c>
      <c r="L4" s="23">
        <v>0</v>
      </c>
      <c r="M4" t="s">
        <v>210</v>
      </c>
    </row>
    <row r="5" spans="1:13" x14ac:dyDescent="0.25">
      <c r="A5">
        <v>906</v>
      </c>
      <c r="C5" s="40"/>
      <c r="D5" s="23"/>
      <c r="E5" s="23"/>
      <c r="F5" s="23"/>
      <c r="G5" s="23"/>
      <c r="H5" s="23"/>
      <c r="I5" s="23"/>
      <c r="J5" s="23"/>
      <c r="K5" s="23"/>
      <c r="L5" s="23"/>
      <c r="M5" t="s">
        <v>212</v>
      </c>
    </row>
    <row r="6" spans="1:13" x14ac:dyDescent="0.25">
      <c r="A6">
        <v>946</v>
      </c>
      <c r="B6">
        <f t="shared" si="0"/>
        <v>6356</v>
      </c>
      <c r="C6" s="40">
        <v>0</v>
      </c>
      <c r="D6" s="23">
        <v>0</v>
      </c>
      <c r="E6" s="23">
        <v>0</v>
      </c>
      <c r="F6" s="23">
        <v>100</v>
      </c>
      <c r="G6" s="23">
        <v>0</v>
      </c>
      <c r="H6" s="23">
        <v>0</v>
      </c>
      <c r="I6" s="23">
        <v>0</v>
      </c>
      <c r="J6" s="23">
        <v>0</v>
      </c>
      <c r="K6" s="23">
        <v>6356</v>
      </c>
      <c r="L6" s="23">
        <v>0</v>
      </c>
      <c r="M6" t="s">
        <v>212</v>
      </c>
    </row>
    <row r="7" spans="1:13" x14ac:dyDescent="0.25">
      <c r="A7">
        <v>968</v>
      </c>
      <c r="B7">
        <f t="shared" si="0"/>
        <v>25090.000000000004</v>
      </c>
      <c r="C7" s="40">
        <v>0</v>
      </c>
      <c r="D7" s="23">
        <v>0</v>
      </c>
      <c r="E7" s="23">
        <v>0</v>
      </c>
      <c r="F7" s="23">
        <v>100</v>
      </c>
      <c r="G7" s="23">
        <v>0</v>
      </c>
      <c r="H7" s="23">
        <v>0</v>
      </c>
      <c r="I7" s="23">
        <v>0</v>
      </c>
      <c r="J7" s="23">
        <v>0</v>
      </c>
      <c r="K7" s="23">
        <v>25090.000000000004</v>
      </c>
      <c r="L7" s="23">
        <v>0</v>
      </c>
      <c r="M7" t="s">
        <v>210</v>
      </c>
    </row>
    <row r="8" spans="1:13" x14ac:dyDescent="0.25">
      <c r="A8">
        <v>969</v>
      </c>
      <c r="C8" s="98"/>
      <c r="D8" s="99"/>
      <c r="E8" s="99"/>
      <c r="F8" s="99"/>
      <c r="G8" s="99"/>
      <c r="H8" s="99"/>
      <c r="I8" s="99"/>
      <c r="J8" s="99"/>
      <c r="K8" s="99"/>
      <c r="L8" s="99"/>
      <c r="M8" t="s">
        <v>210</v>
      </c>
    </row>
    <row r="9" spans="1:13" x14ac:dyDescent="0.25">
      <c r="A9">
        <v>972</v>
      </c>
      <c r="C9" s="40">
        <v>10</v>
      </c>
      <c r="D9" s="23">
        <v>0</v>
      </c>
      <c r="E9" s="23">
        <v>0</v>
      </c>
      <c r="F9" s="23">
        <v>90</v>
      </c>
      <c r="G9" s="23">
        <v>0</v>
      </c>
      <c r="H9" s="23">
        <v>0</v>
      </c>
      <c r="I9" s="23">
        <v>0</v>
      </c>
      <c r="J9" s="23">
        <v>0</v>
      </c>
      <c r="K9" s="23">
        <v>0</v>
      </c>
      <c r="L9" s="23">
        <v>0</v>
      </c>
      <c r="M9" t="s">
        <v>210</v>
      </c>
    </row>
    <row r="10" spans="1:13" x14ac:dyDescent="0.25">
      <c r="A10">
        <v>974</v>
      </c>
      <c r="C10" s="98"/>
      <c r="D10" s="99"/>
      <c r="E10" s="99"/>
      <c r="F10" s="99"/>
      <c r="G10" s="99"/>
      <c r="H10" s="99"/>
      <c r="I10" s="99"/>
      <c r="J10" s="99"/>
      <c r="K10" s="99"/>
      <c r="L10" s="99"/>
      <c r="M10" t="s">
        <v>212</v>
      </c>
    </row>
    <row r="11" spans="1:13" x14ac:dyDescent="0.25">
      <c r="A11">
        <v>978</v>
      </c>
      <c r="B11">
        <f t="shared" si="0"/>
        <v>320000</v>
      </c>
      <c r="C11" s="40">
        <v>0</v>
      </c>
      <c r="D11" s="23">
        <v>0</v>
      </c>
      <c r="E11" s="23">
        <v>0</v>
      </c>
      <c r="F11" s="23">
        <v>100</v>
      </c>
      <c r="G11" s="23">
        <v>0</v>
      </c>
      <c r="H11" s="23">
        <v>0</v>
      </c>
      <c r="I11" s="23">
        <v>0</v>
      </c>
      <c r="J11" s="23">
        <v>0</v>
      </c>
      <c r="K11" s="23">
        <v>320000</v>
      </c>
      <c r="L11" s="23">
        <v>0</v>
      </c>
      <c r="M11" t="s">
        <v>210</v>
      </c>
    </row>
    <row r="12" spans="1:13" x14ac:dyDescent="0.25">
      <c r="A12">
        <v>985</v>
      </c>
      <c r="B12">
        <f t="shared" si="0"/>
        <v>70920.623370041896</v>
      </c>
      <c r="C12" s="40">
        <v>0.79327835109241607</v>
      </c>
      <c r="D12" s="23">
        <v>0</v>
      </c>
      <c r="E12" s="23">
        <v>0</v>
      </c>
      <c r="F12" s="23">
        <v>99.206721648907589</v>
      </c>
      <c r="G12" s="23">
        <v>0</v>
      </c>
      <c r="H12" s="23">
        <v>562.59795165433093</v>
      </c>
      <c r="I12" s="23">
        <v>0</v>
      </c>
      <c r="J12" s="23">
        <v>0</v>
      </c>
      <c r="K12" s="23">
        <v>70358.025418387566</v>
      </c>
      <c r="L12" s="23">
        <v>0</v>
      </c>
      <c r="M12" t="s">
        <v>210</v>
      </c>
    </row>
    <row r="13" spans="1:13" x14ac:dyDescent="0.25">
      <c r="A13">
        <v>1053</v>
      </c>
      <c r="B13">
        <f t="shared" si="0"/>
        <v>5067</v>
      </c>
      <c r="C13" s="40">
        <v>1.2446518864255154</v>
      </c>
      <c r="D13" s="23">
        <v>0</v>
      </c>
      <c r="E13" s="23">
        <v>0</v>
      </c>
      <c r="F13" s="23">
        <v>98.755348113574485</v>
      </c>
      <c r="G13" s="23">
        <v>0</v>
      </c>
      <c r="H13" s="23">
        <v>63.066511085180863</v>
      </c>
      <c r="I13" s="23">
        <v>0</v>
      </c>
      <c r="J13" s="23">
        <v>0</v>
      </c>
      <c r="K13" s="23">
        <v>5003.9334889148195</v>
      </c>
      <c r="L13" s="23">
        <v>0</v>
      </c>
      <c r="M13" t="s">
        <v>211</v>
      </c>
    </row>
    <row r="14" spans="1:13" x14ac:dyDescent="0.25">
      <c r="A14">
        <v>1063</v>
      </c>
      <c r="B14">
        <f t="shared" si="0"/>
        <v>11000</v>
      </c>
      <c r="C14" s="40">
        <v>0</v>
      </c>
      <c r="D14" s="23">
        <v>0</v>
      </c>
      <c r="E14" s="23">
        <v>0</v>
      </c>
      <c r="F14" s="23">
        <v>100</v>
      </c>
      <c r="G14" s="23">
        <v>0</v>
      </c>
      <c r="H14" s="23">
        <v>0</v>
      </c>
      <c r="I14" s="23">
        <v>0</v>
      </c>
      <c r="J14" s="23">
        <v>0</v>
      </c>
      <c r="K14" s="23">
        <v>11000</v>
      </c>
      <c r="L14" s="23">
        <v>0</v>
      </c>
      <c r="M14" t="s">
        <v>211</v>
      </c>
    </row>
    <row r="15" spans="1:13" x14ac:dyDescent="0.25">
      <c r="A15">
        <v>1150</v>
      </c>
      <c r="B15">
        <f t="shared" si="0"/>
        <v>722.02697679358505</v>
      </c>
      <c r="C15" s="40">
        <v>0</v>
      </c>
      <c r="D15" s="23">
        <v>9.1603053435114496</v>
      </c>
      <c r="E15" s="23">
        <v>30.534351145038169</v>
      </c>
      <c r="F15" s="23">
        <v>44.580152671755727</v>
      </c>
      <c r="G15" s="23">
        <v>15.725190839694655</v>
      </c>
      <c r="H15" s="23">
        <v>0</v>
      </c>
      <c r="I15" s="23">
        <v>66.139875736816947</v>
      </c>
      <c r="J15" s="23">
        <v>220.46625245605651</v>
      </c>
      <c r="K15" s="23">
        <v>321.88072858584252</v>
      </c>
      <c r="L15" s="23">
        <v>113.54012001486909</v>
      </c>
      <c r="M15" t="s">
        <v>213</v>
      </c>
    </row>
    <row r="16" spans="1:13" x14ac:dyDescent="0.25">
      <c r="A16">
        <v>1158</v>
      </c>
      <c r="B16">
        <f t="shared" si="0"/>
        <v>4099.7191011235964</v>
      </c>
      <c r="C16" s="40">
        <f>(H16/$B$16)*100</f>
        <v>7.1942446043165464</v>
      </c>
      <c r="D16" s="40">
        <f t="shared" ref="D16:G16" si="1">(I16/$B$16)*100</f>
        <v>10.791366906474821</v>
      </c>
      <c r="E16" s="40">
        <f t="shared" si="1"/>
        <v>28.776978417266186</v>
      </c>
      <c r="F16" s="40">
        <f t="shared" si="1"/>
        <v>50.359712230215827</v>
      </c>
      <c r="G16" s="40">
        <f t="shared" si="1"/>
        <v>2.8776978417266186</v>
      </c>
      <c r="H16" s="23">
        <v>294.94382022471916</v>
      </c>
      <c r="I16" s="23">
        <v>442.41573033707874</v>
      </c>
      <c r="J16" s="23">
        <v>1179.7752808988766</v>
      </c>
      <c r="K16" s="23">
        <v>2064.606741573034</v>
      </c>
      <c r="L16" s="23">
        <v>117.97752808988766</v>
      </c>
      <c r="M16" t="s">
        <v>213</v>
      </c>
    </row>
    <row r="17" spans="1:13" x14ac:dyDescent="0.25">
      <c r="A17">
        <v>1184</v>
      </c>
      <c r="B17">
        <f>SUM(H17:L17)</f>
        <v>12664.652780031196</v>
      </c>
      <c r="C17" s="40">
        <v>3</v>
      </c>
      <c r="D17" s="23">
        <v>1</v>
      </c>
      <c r="E17" s="23">
        <v>0</v>
      </c>
      <c r="F17" s="23">
        <v>96</v>
      </c>
      <c r="G17" s="23">
        <v>0</v>
      </c>
      <c r="H17" s="23">
        <v>379.93958340093587</v>
      </c>
      <c r="I17" s="23">
        <v>126.64652780031196</v>
      </c>
      <c r="J17" s="23">
        <v>0</v>
      </c>
      <c r="K17" s="23">
        <v>12158.066668829948</v>
      </c>
      <c r="L17" s="23">
        <v>0</v>
      </c>
      <c r="M17" t="s">
        <v>210</v>
      </c>
    </row>
    <row r="18" spans="1:13" x14ac:dyDescent="0.25">
      <c r="A18">
        <v>1186</v>
      </c>
      <c r="B18">
        <f t="shared" si="0"/>
        <v>21406.089</v>
      </c>
      <c r="C18" s="40">
        <v>0</v>
      </c>
      <c r="D18" s="23">
        <v>0</v>
      </c>
      <c r="E18" s="23">
        <v>0</v>
      </c>
      <c r="F18" s="23">
        <v>100</v>
      </c>
      <c r="G18" s="23">
        <v>0</v>
      </c>
      <c r="H18" s="23">
        <v>0</v>
      </c>
      <c r="I18" s="23">
        <v>0</v>
      </c>
      <c r="J18" s="23">
        <v>0</v>
      </c>
      <c r="K18" s="23">
        <v>21406.089</v>
      </c>
      <c r="L18" s="23">
        <v>0</v>
      </c>
      <c r="M18" t="s">
        <v>210</v>
      </c>
    </row>
    <row r="19" spans="1:13" x14ac:dyDescent="0.25">
      <c r="A19">
        <v>1190</v>
      </c>
      <c r="B19">
        <f t="shared" si="0"/>
        <v>9600</v>
      </c>
      <c r="C19" s="40">
        <v>0.8</v>
      </c>
      <c r="D19" s="23">
        <v>0.1</v>
      </c>
      <c r="E19" s="23">
        <v>0.1</v>
      </c>
      <c r="F19" s="23">
        <v>99</v>
      </c>
      <c r="G19" s="23">
        <v>0</v>
      </c>
      <c r="H19" s="23">
        <v>76.8</v>
      </c>
      <c r="I19" s="23">
        <v>9.6</v>
      </c>
      <c r="J19" s="23">
        <v>9.6</v>
      </c>
      <c r="K19" s="23">
        <v>9504</v>
      </c>
      <c r="L19" s="23">
        <v>0</v>
      </c>
      <c r="M19" t="s">
        <v>210</v>
      </c>
    </row>
    <row r="20" spans="1:13" x14ac:dyDescent="0.25">
      <c r="A20">
        <v>1194</v>
      </c>
      <c r="B20">
        <f t="shared" si="0"/>
        <v>17000</v>
      </c>
      <c r="C20" s="40">
        <v>15</v>
      </c>
      <c r="D20" s="23">
        <v>0</v>
      </c>
      <c r="E20" s="23">
        <v>0</v>
      </c>
      <c r="F20" s="23">
        <v>85</v>
      </c>
      <c r="G20" s="23">
        <v>0</v>
      </c>
      <c r="H20" s="23">
        <v>2550</v>
      </c>
      <c r="I20" s="23">
        <v>0</v>
      </c>
      <c r="J20" s="23">
        <v>0</v>
      </c>
      <c r="K20" s="23">
        <v>14450</v>
      </c>
      <c r="L20" s="23">
        <v>0</v>
      </c>
      <c r="M20" t="s">
        <v>210</v>
      </c>
    </row>
    <row r="21" spans="1:13" x14ac:dyDescent="0.25">
      <c r="A21">
        <v>1196</v>
      </c>
      <c r="B21">
        <f t="shared" si="0"/>
        <v>4790.322580645161</v>
      </c>
      <c r="C21" s="40">
        <v>0</v>
      </c>
      <c r="D21" s="23">
        <v>0</v>
      </c>
      <c r="E21" s="23">
        <v>0</v>
      </c>
      <c r="F21" s="23">
        <v>0</v>
      </c>
      <c r="G21" s="23">
        <v>100</v>
      </c>
      <c r="H21" s="23">
        <v>0</v>
      </c>
      <c r="I21" s="23">
        <v>0</v>
      </c>
      <c r="J21" s="23">
        <v>0</v>
      </c>
      <c r="K21" s="23">
        <v>0</v>
      </c>
      <c r="L21" s="23">
        <v>4790.322580645161</v>
      </c>
      <c r="M21" t="s">
        <v>210</v>
      </c>
    </row>
    <row r="22" spans="1:13" x14ac:dyDescent="0.25">
      <c r="A22">
        <v>1200</v>
      </c>
      <c r="B22">
        <f t="shared" si="0"/>
        <v>1639.5432715740494</v>
      </c>
      <c r="C22" s="40">
        <v>0</v>
      </c>
      <c r="D22" s="23">
        <v>0</v>
      </c>
      <c r="E22" s="23">
        <v>0</v>
      </c>
      <c r="F22" s="23">
        <v>100</v>
      </c>
      <c r="G22" s="23">
        <v>0</v>
      </c>
      <c r="H22" s="23">
        <v>0</v>
      </c>
      <c r="I22" s="23">
        <v>0</v>
      </c>
      <c r="J22" s="23">
        <v>0</v>
      </c>
      <c r="K22" s="23">
        <v>1639.5432715740494</v>
      </c>
      <c r="L22" s="23">
        <v>0</v>
      </c>
      <c r="M22" t="s">
        <v>213</v>
      </c>
    </row>
    <row r="23" spans="1:13" x14ac:dyDescent="0.25">
      <c r="A23">
        <v>1202</v>
      </c>
      <c r="C23" s="98"/>
      <c r="D23" s="99"/>
      <c r="E23" s="99"/>
      <c r="F23" s="99"/>
      <c r="G23" s="99"/>
      <c r="H23" s="99"/>
      <c r="I23" s="99"/>
      <c r="J23" s="99"/>
      <c r="K23" s="99"/>
      <c r="L23" s="99"/>
      <c r="M23" t="s">
        <v>213</v>
      </c>
    </row>
    <row r="24" spans="1:13" x14ac:dyDescent="0.25">
      <c r="A24">
        <v>1234</v>
      </c>
      <c r="B24">
        <f t="shared" si="0"/>
        <v>3396.14</v>
      </c>
      <c r="C24" s="40">
        <v>7.6923076923076925</v>
      </c>
      <c r="D24" s="23">
        <v>76.923076923076934</v>
      </c>
      <c r="E24" s="23">
        <v>7.6923076923076925</v>
      </c>
      <c r="F24" s="23">
        <v>7.6923076923076925</v>
      </c>
      <c r="G24" s="23">
        <v>0</v>
      </c>
      <c r="H24" s="23">
        <v>261.24153846153848</v>
      </c>
      <c r="I24" s="23">
        <v>2612.4153846153849</v>
      </c>
      <c r="J24" s="23">
        <v>261.24153846153848</v>
      </c>
      <c r="K24" s="23">
        <v>261.24153846153848</v>
      </c>
      <c r="L24" s="23">
        <v>0</v>
      </c>
      <c r="M24" t="s">
        <v>211</v>
      </c>
    </row>
    <row r="25" spans="1:13" x14ac:dyDescent="0.25">
      <c r="A25">
        <v>1265</v>
      </c>
      <c r="B25">
        <f t="shared" si="0"/>
        <v>1371.63</v>
      </c>
      <c r="C25" s="40">
        <v>1.3157894736842104</v>
      </c>
      <c r="D25" s="23">
        <v>0</v>
      </c>
      <c r="E25" s="23">
        <v>0</v>
      </c>
      <c r="F25" s="23">
        <v>98.68421052631578</v>
      </c>
      <c r="G25" s="23">
        <v>0</v>
      </c>
      <c r="H25" s="23">
        <v>18.047763157894739</v>
      </c>
      <c r="I25" s="23">
        <v>0</v>
      </c>
      <c r="J25" s="23">
        <v>0</v>
      </c>
      <c r="K25" s="23">
        <v>1353.5822368421054</v>
      </c>
      <c r="L25" s="23">
        <v>0</v>
      </c>
      <c r="M25" t="s">
        <v>211</v>
      </c>
    </row>
    <row r="26" spans="1:13" x14ac:dyDescent="0.25">
      <c r="A26">
        <v>1294</v>
      </c>
      <c r="B26">
        <f t="shared" si="0"/>
        <v>8064.0000000000009</v>
      </c>
      <c r="C26" s="40">
        <v>0</v>
      </c>
      <c r="D26" s="23">
        <v>0</v>
      </c>
      <c r="E26" s="23">
        <v>0</v>
      </c>
      <c r="F26" s="23">
        <v>100</v>
      </c>
      <c r="G26" s="23">
        <v>0</v>
      </c>
      <c r="H26" s="23">
        <v>0</v>
      </c>
      <c r="I26" s="23">
        <v>0</v>
      </c>
      <c r="J26" s="23">
        <v>0</v>
      </c>
      <c r="K26" s="23">
        <v>8064.0000000000009</v>
      </c>
      <c r="L26" s="23">
        <v>0</v>
      </c>
      <c r="M26" t="s">
        <v>212</v>
      </c>
    </row>
    <row r="27" spans="1:13" x14ac:dyDescent="0.25">
      <c r="A27">
        <v>1299</v>
      </c>
      <c r="B27">
        <f t="shared" si="0"/>
        <v>1467.5</v>
      </c>
      <c r="C27" s="40">
        <v>5</v>
      </c>
      <c r="D27" s="23">
        <v>5</v>
      </c>
      <c r="E27" s="23">
        <v>70</v>
      </c>
      <c r="F27" s="23">
        <v>20</v>
      </c>
      <c r="G27" s="23">
        <v>0</v>
      </c>
      <c r="H27" s="23">
        <v>73.375</v>
      </c>
      <c r="I27" s="23">
        <v>73.375</v>
      </c>
      <c r="J27" s="23">
        <v>1027.25</v>
      </c>
      <c r="K27" s="23">
        <v>293.5</v>
      </c>
      <c r="L27" s="23">
        <v>0</v>
      </c>
      <c r="M27" t="s">
        <v>212</v>
      </c>
    </row>
    <row r="28" spans="1:13" x14ac:dyDescent="0.25">
      <c r="A28">
        <v>1304</v>
      </c>
      <c r="B28">
        <f>SUM(H28:L28)</f>
        <v>664</v>
      </c>
      <c r="C28" s="40">
        <f>(H28/B28)*100</f>
        <v>2.1084337349397591</v>
      </c>
      <c r="D28" s="23">
        <v>0</v>
      </c>
      <c r="E28" s="23">
        <v>0</v>
      </c>
      <c r="F28" s="23">
        <f>(650/664)*100</f>
        <v>97.891566265060234</v>
      </c>
      <c r="G28" s="23">
        <v>0</v>
      </c>
      <c r="H28" s="23">
        <v>14</v>
      </c>
      <c r="I28" s="23">
        <v>0</v>
      </c>
      <c r="J28" s="23">
        <v>0</v>
      </c>
      <c r="K28" s="23">
        <v>650</v>
      </c>
      <c r="L28" s="23">
        <v>0</v>
      </c>
      <c r="M28" t="s">
        <v>213</v>
      </c>
    </row>
    <row r="29" spans="1:13" x14ac:dyDescent="0.25">
      <c r="A29">
        <v>1323</v>
      </c>
      <c r="C29" s="40"/>
      <c r="D29" s="23"/>
      <c r="E29" s="23"/>
      <c r="F29" s="23"/>
      <c r="G29" s="23"/>
      <c r="H29" s="23"/>
      <c r="I29" s="23"/>
      <c r="J29" s="23"/>
      <c r="K29" s="23"/>
      <c r="L29" s="23"/>
      <c r="M29" t="s">
        <v>210</v>
      </c>
    </row>
    <row r="30" spans="1:13" x14ac:dyDescent="0.25">
      <c r="A30">
        <v>1327</v>
      </c>
      <c r="B30">
        <f t="shared" si="0"/>
        <v>11553.930994179609</v>
      </c>
      <c r="C30" s="40">
        <v>5.2362177491872446</v>
      </c>
      <c r="D30" s="23">
        <v>0</v>
      </c>
      <c r="E30" s="23">
        <v>0</v>
      </c>
      <c r="F30" s="23">
        <v>94.763782250812753</v>
      </c>
      <c r="G30" s="23">
        <v>0</v>
      </c>
      <c r="H30" s="23">
        <v>604.98898544607891</v>
      </c>
      <c r="I30" s="23">
        <v>0</v>
      </c>
      <c r="J30" s="23">
        <v>0</v>
      </c>
      <c r="K30" s="23">
        <v>10948.942008733529</v>
      </c>
      <c r="L30" s="23">
        <v>0</v>
      </c>
      <c r="M30" t="s">
        <v>210</v>
      </c>
    </row>
    <row r="31" spans="1:13" x14ac:dyDescent="0.25">
      <c r="A31">
        <v>1333</v>
      </c>
      <c r="B31">
        <f>SUM(H31:L31)</f>
        <v>16800</v>
      </c>
      <c r="C31" s="40">
        <v>11</v>
      </c>
      <c r="D31" s="23">
        <v>1</v>
      </c>
      <c r="E31" s="23">
        <v>75</v>
      </c>
      <c r="F31" s="23">
        <v>13</v>
      </c>
      <c r="G31" s="23">
        <v>0</v>
      </c>
      <c r="H31" s="23">
        <v>1848</v>
      </c>
      <c r="I31" s="23">
        <v>168</v>
      </c>
      <c r="J31" s="23">
        <v>12600</v>
      </c>
      <c r="K31" s="23">
        <v>2184</v>
      </c>
      <c r="L31" s="23">
        <v>0</v>
      </c>
      <c r="M31" t="s">
        <v>210</v>
      </c>
    </row>
    <row r="32" spans="1:13" x14ac:dyDescent="0.25">
      <c r="A32">
        <v>1342</v>
      </c>
      <c r="C32" s="98"/>
      <c r="D32" s="99"/>
      <c r="E32" s="99"/>
      <c r="F32" s="99"/>
      <c r="G32" s="99"/>
      <c r="H32" s="99"/>
      <c r="I32" s="99"/>
      <c r="J32" s="99"/>
      <c r="K32" s="99"/>
      <c r="L32" s="99"/>
      <c r="M32" t="s">
        <v>211</v>
      </c>
    </row>
    <row r="33" spans="1:13" x14ac:dyDescent="0.25">
      <c r="A33">
        <v>1385</v>
      </c>
      <c r="B33">
        <f t="shared" si="0"/>
        <v>9967.3800000000028</v>
      </c>
      <c r="C33" s="40">
        <v>5</v>
      </c>
      <c r="D33" s="23">
        <v>5</v>
      </c>
      <c r="E33" s="23">
        <v>5</v>
      </c>
      <c r="F33" s="23">
        <v>80</v>
      </c>
      <c r="G33" s="23">
        <v>5</v>
      </c>
      <c r="H33" s="23">
        <v>498.36900000000009</v>
      </c>
      <c r="I33" s="23">
        <v>498.36900000000009</v>
      </c>
      <c r="J33" s="23">
        <v>498.36900000000009</v>
      </c>
      <c r="K33" s="23">
        <v>7973.9040000000014</v>
      </c>
      <c r="L33" s="23">
        <v>498.36900000000009</v>
      </c>
      <c r="M33" t="s">
        <v>210</v>
      </c>
    </row>
    <row r="34" spans="1:13" x14ac:dyDescent="0.25">
      <c r="A34">
        <v>1483</v>
      </c>
      <c r="B34">
        <f t="shared" si="0"/>
        <v>13800</v>
      </c>
      <c r="C34" s="40">
        <v>80</v>
      </c>
      <c r="D34" s="23">
        <v>5</v>
      </c>
      <c r="E34" s="23">
        <v>0</v>
      </c>
      <c r="F34" s="23">
        <v>15</v>
      </c>
      <c r="G34" s="23">
        <v>0</v>
      </c>
      <c r="H34" s="23">
        <v>11040</v>
      </c>
      <c r="I34" s="23">
        <v>690</v>
      </c>
      <c r="J34" s="23">
        <v>0</v>
      </c>
      <c r="K34" s="23">
        <v>2070</v>
      </c>
      <c r="L34" s="23">
        <v>0</v>
      </c>
      <c r="M34" t="s">
        <v>211</v>
      </c>
    </row>
    <row r="35" spans="1:13" x14ac:dyDescent="0.25">
      <c r="A35">
        <v>1488</v>
      </c>
      <c r="B35">
        <f t="shared" si="0"/>
        <v>3884.3</v>
      </c>
      <c r="C35" s="40">
        <v>15</v>
      </c>
      <c r="D35" s="23">
        <v>3</v>
      </c>
      <c r="E35" s="23">
        <v>7</v>
      </c>
      <c r="F35" s="23">
        <v>75</v>
      </c>
      <c r="G35" s="23">
        <v>0</v>
      </c>
      <c r="H35" s="23">
        <v>582.64499999999998</v>
      </c>
      <c r="I35" s="23">
        <v>116.52900000000001</v>
      </c>
      <c r="J35" s="23">
        <v>271.90100000000001</v>
      </c>
      <c r="K35" s="23">
        <v>2913.2249999999999</v>
      </c>
      <c r="L35" s="23">
        <v>0</v>
      </c>
      <c r="M35" t="s">
        <v>211</v>
      </c>
    </row>
    <row r="36" spans="1:13" x14ac:dyDescent="0.25">
      <c r="A36">
        <v>1493</v>
      </c>
      <c r="B36">
        <f t="shared" si="0"/>
        <v>5033.6221150622532</v>
      </c>
      <c r="C36" s="40">
        <v>0</v>
      </c>
      <c r="D36" s="23">
        <v>0</v>
      </c>
      <c r="E36" s="23">
        <v>0</v>
      </c>
      <c r="F36" s="23">
        <v>100</v>
      </c>
      <c r="G36" s="23">
        <v>0</v>
      </c>
      <c r="H36" s="23">
        <v>0</v>
      </c>
      <c r="I36" s="23">
        <v>0</v>
      </c>
      <c r="J36" s="23">
        <v>0</v>
      </c>
      <c r="K36" s="23">
        <v>5033.6221150622532</v>
      </c>
      <c r="L36" s="23">
        <v>0</v>
      </c>
      <c r="M36" t="s">
        <v>211</v>
      </c>
    </row>
    <row r="37" spans="1:13" x14ac:dyDescent="0.25">
      <c r="A37">
        <v>1497</v>
      </c>
      <c r="B37">
        <f t="shared" si="0"/>
        <v>150</v>
      </c>
      <c r="C37" s="40">
        <v>13.333333333333334</v>
      </c>
      <c r="D37" s="23">
        <v>6.666666666666667</v>
      </c>
      <c r="E37" s="23">
        <v>33.333333333333329</v>
      </c>
      <c r="F37" s="23">
        <v>46.666666666666664</v>
      </c>
      <c r="G37" s="23">
        <v>0</v>
      </c>
      <c r="H37" s="23">
        <v>20</v>
      </c>
      <c r="I37" s="23">
        <v>10</v>
      </c>
      <c r="J37" s="23">
        <v>49.999999999999993</v>
      </c>
      <c r="K37" s="23">
        <v>70</v>
      </c>
      <c r="L37" s="23">
        <v>0</v>
      </c>
      <c r="M37" t="s">
        <v>211</v>
      </c>
    </row>
    <row r="38" spans="1:13" x14ac:dyDescent="0.25">
      <c r="A38">
        <v>1503</v>
      </c>
      <c r="B38">
        <f t="shared" si="0"/>
        <v>866.22</v>
      </c>
      <c r="C38" s="40">
        <v>5</v>
      </c>
      <c r="D38" s="23">
        <v>5</v>
      </c>
      <c r="E38" s="23">
        <v>5</v>
      </c>
      <c r="F38" s="23">
        <v>10</v>
      </c>
      <c r="G38" s="23">
        <v>75</v>
      </c>
      <c r="H38" s="23">
        <v>43.311000000000007</v>
      </c>
      <c r="I38" s="23">
        <v>43.311000000000007</v>
      </c>
      <c r="J38" s="23">
        <v>43.311000000000007</v>
      </c>
      <c r="K38" s="23">
        <v>86.622000000000014</v>
      </c>
      <c r="L38" s="23">
        <v>649.66499999999996</v>
      </c>
      <c r="M38" t="s">
        <v>210</v>
      </c>
    </row>
    <row r="39" spans="1:13" x14ac:dyDescent="0.25">
      <c r="A39">
        <v>1518</v>
      </c>
      <c r="C39" s="98"/>
      <c r="D39" s="99"/>
      <c r="E39" s="99"/>
      <c r="F39" s="99"/>
      <c r="G39" s="99"/>
      <c r="H39" s="99"/>
      <c r="I39" s="99"/>
      <c r="J39" s="99"/>
      <c r="K39" s="99"/>
      <c r="L39" s="99"/>
      <c r="M39" t="s">
        <v>210</v>
      </c>
    </row>
    <row r="40" spans="1:13" x14ac:dyDescent="0.25">
      <c r="A40">
        <v>1593</v>
      </c>
      <c r="B40">
        <f t="shared" si="0"/>
        <v>13271.915663688851</v>
      </c>
      <c r="C40" s="40">
        <v>0</v>
      </c>
      <c r="D40" s="23">
        <v>0</v>
      </c>
      <c r="E40" s="23">
        <v>0</v>
      </c>
      <c r="F40" s="23">
        <v>100</v>
      </c>
      <c r="G40" s="23">
        <v>0</v>
      </c>
      <c r="H40" s="23">
        <v>0</v>
      </c>
      <c r="I40" s="23">
        <v>0</v>
      </c>
      <c r="J40" s="23">
        <v>0</v>
      </c>
      <c r="K40" s="23">
        <v>13271.915663688851</v>
      </c>
      <c r="L40" s="23">
        <v>0</v>
      </c>
      <c r="M40" t="s">
        <v>212</v>
      </c>
    </row>
    <row r="41" spans="1:13" x14ac:dyDescent="0.25">
      <c r="A41">
        <v>1614</v>
      </c>
      <c r="B41">
        <f t="shared" si="0"/>
        <v>21480</v>
      </c>
      <c r="C41" s="40">
        <v>29.335044999522008</v>
      </c>
      <c r="D41" s="23">
        <v>68.448438332218018</v>
      </c>
      <c r="E41" s="23">
        <v>1.0693361375524084</v>
      </c>
      <c r="F41" s="23">
        <v>1.1471805307075646</v>
      </c>
      <c r="G41" s="23">
        <v>0</v>
      </c>
      <c r="H41" s="23">
        <v>6301.1676658973274</v>
      </c>
      <c r="I41" s="23">
        <v>14702.72455376043</v>
      </c>
      <c r="J41" s="23">
        <v>229.69340234625733</v>
      </c>
      <c r="K41" s="23">
        <v>246.41437799598486</v>
      </c>
      <c r="L41" s="23">
        <v>0</v>
      </c>
      <c r="M41" t="s">
        <v>212</v>
      </c>
    </row>
    <row r="42" spans="1:13" x14ac:dyDescent="0.25">
      <c r="A42">
        <v>1618</v>
      </c>
      <c r="B42">
        <f t="shared" si="0"/>
        <v>17636.363636363636</v>
      </c>
      <c r="C42" s="40">
        <v>11.111111111111111</v>
      </c>
      <c r="D42" s="23">
        <v>0</v>
      </c>
      <c r="E42" s="23">
        <v>0</v>
      </c>
      <c r="F42" s="23">
        <v>88.888888888888886</v>
      </c>
      <c r="G42" s="23">
        <v>0</v>
      </c>
      <c r="H42" s="23">
        <v>1959.5959595959596</v>
      </c>
      <c r="I42" s="23">
        <v>0</v>
      </c>
      <c r="J42" s="23">
        <v>0</v>
      </c>
      <c r="K42" s="23">
        <v>15676.767676767677</v>
      </c>
      <c r="L42" s="23">
        <v>0</v>
      </c>
      <c r="M42" t="s">
        <v>210</v>
      </c>
    </row>
    <row r="43" spans="1:13" x14ac:dyDescent="0.25">
      <c r="A43">
        <v>1622</v>
      </c>
      <c r="B43">
        <f t="shared" si="0"/>
        <v>2170</v>
      </c>
      <c r="C43" s="40">
        <v>20</v>
      </c>
      <c r="D43" s="23">
        <v>5</v>
      </c>
      <c r="E43" s="23">
        <v>0</v>
      </c>
      <c r="F43" s="23">
        <v>75</v>
      </c>
      <c r="G43" s="23">
        <v>0</v>
      </c>
      <c r="H43" s="23">
        <v>434</v>
      </c>
      <c r="I43" s="23">
        <v>108.5</v>
      </c>
      <c r="J43" s="23">
        <v>0</v>
      </c>
      <c r="K43" s="23">
        <v>1627.5</v>
      </c>
      <c r="L43" s="23">
        <v>0</v>
      </c>
      <c r="M43" t="s">
        <v>210</v>
      </c>
    </row>
    <row r="44" spans="1:13" x14ac:dyDescent="0.25">
      <c r="A44">
        <v>1625</v>
      </c>
      <c r="C44" s="98"/>
      <c r="D44" s="99"/>
      <c r="E44" s="99"/>
      <c r="F44" s="99"/>
      <c r="G44" s="99"/>
      <c r="H44" s="99"/>
      <c r="I44" s="99"/>
      <c r="J44" s="99"/>
      <c r="K44" s="99"/>
      <c r="L44" s="99"/>
      <c r="M44" t="s">
        <v>210</v>
      </c>
    </row>
    <row r="45" spans="1:13" x14ac:dyDescent="0.25">
      <c r="A45">
        <v>1626</v>
      </c>
      <c r="B45">
        <f t="shared" si="0"/>
        <v>7278.9999999999991</v>
      </c>
      <c r="C45" s="40">
        <v>0</v>
      </c>
      <c r="D45" s="23">
        <v>0</v>
      </c>
      <c r="E45" s="23">
        <v>31.281769473828824</v>
      </c>
      <c r="F45" s="23">
        <v>68.718230526171169</v>
      </c>
      <c r="G45" s="23">
        <v>0</v>
      </c>
      <c r="H45" s="23">
        <v>0</v>
      </c>
      <c r="I45" s="23">
        <v>0</v>
      </c>
      <c r="J45" s="23">
        <v>2277</v>
      </c>
      <c r="K45" s="23">
        <v>5001.9999999999991</v>
      </c>
      <c r="L45" s="23">
        <v>0</v>
      </c>
      <c r="M45" t="s">
        <v>210</v>
      </c>
    </row>
    <row r="46" spans="1:13" x14ac:dyDescent="0.25">
      <c r="A46">
        <v>1627</v>
      </c>
      <c r="C46" s="98"/>
      <c r="D46" s="99"/>
      <c r="E46" s="99"/>
      <c r="F46" s="99"/>
      <c r="G46" s="99"/>
      <c r="H46" s="99"/>
      <c r="I46" s="99"/>
      <c r="J46" s="99"/>
      <c r="K46" s="99"/>
      <c r="L46" s="99"/>
      <c r="M46" t="s">
        <v>210</v>
      </c>
    </row>
    <row r="47" spans="1:13" x14ac:dyDescent="0.25">
      <c r="A47">
        <v>1628</v>
      </c>
      <c r="C47" s="98"/>
      <c r="D47" s="99"/>
      <c r="E47" s="99"/>
      <c r="F47" s="99"/>
      <c r="G47" s="99"/>
      <c r="H47" s="99"/>
      <c r="I47" s="99"/>
      <c r="J47" s="99"/>
      <c r="K47" s="99"/>
      <c r="L47" s="99"/>
      <c r="M47" t="s">
        <v>210</v>
      </c>
    </row>
    <row r="48" spans="1:13" x14ac:dyDescent="0.25">
      <c r="A48">
        <v>1630</v>
      </c>
      <c r="C48" s="98"/>
      <c r="D48" s="99"/>
      <c r="E48" s="99"/>
      <c r="F48" s="99"/>
      <c r="G48" s="99"/>
      <c r="H48" s="99"/>
      <c r="I48" s="99"/>
      <c r="J48" s="99"/>
      <c r="K48" s="99"/>
      <c r="L48" s="99"/>
      <c r="M48" t="s">
        <v>210</v>
      </c>
    </row>
    <row r="49" spans="1:13" x14ac:dyDescent="0.25">
      <c r="A49">
        <v>1635</v>
      </c>
      <c r="B49">
        <f t="shared" si="0"/>
        <v>15731.95856704888</v>
      </c>
      <c r="C49" s="40">
        <v>0</v>
      </c>
      <c r="D49" s="23">
        <v>0</v>
      </c>
      <c r="E49" s="23">
        <v>32.432432432432435</v>
      </c>
      <c r="F49" s="23">
        <v>67.567567567567565</v>
      </c>
      <c r="G49" s="23">
        <v>0</v>
      </c>
      <c r="H49" s="23">
        <v>0</v>
      </c>
      <c r="I49" s="23">
        <v>0</v>
      </c>
      <c r="J49" s="23">
        <v>5102.2568325563934</v>
      </c>
      <c r="K49" s="23">
        <v>10629.701734492486</v>
      </c>
      <c r="L49" s="23">
        <v>0</v>
      </c>
      <c r="M49" t="s">
        <v>212</v>
      </c>
    </row>
    <row r="50" spans="1:13" x14ac:dyDescent="0.25">
      <c r="A50">
        <v>1662</v>
      </c>
      <c r="B50">
        <f>SUM(H50:L50)</f>
        <v>2650</v>
      </c>
      <c r="C50" s="40">
        <v>0</v>
      </c>
      <c r="D50" s="23">
        <v>0</v>
      </c>
      <c r="E50" s="23">
        <v>0</v>
      </c>
      <c r="F50" s="23">
        <v>100</v>
      </c>
      <c r="G50" s="23">
        <v>0</v>
      </c>
      <c r="H50" s="23">
        <v>0</v>
      </c>
      <c r="I50" s="23">
        <v>0</v>
      </c>
      <c r="J50" s="23">
        <v>0</v>
      </c>
      <c r="K50" s="23">
        <v>2650</v>
      </c>
      <c r="L50" s="23">
        <v>0</v>
      </c>
      <c r="M50" t="s">
        <v>210</v>
      </c>
    </row>
    <row r="51" spans="1:13" x14ac:dyDescent="0.25">
      <c r="A51">
        <v>1666</v>
      </c>
      <c r="C51" s="98"/>
      <c r="D51" s="99"/>
      <c r="E51" s="99"/>
      <c r="F51" s="99"/>
      <c r="G51" s="99"/>
      <c r="H51" s="99"/>
      <c r="I51" s="99"/>
      <c r="J51" s="99"/>
      <c r="K51" s="99"/>
      <c r="L51" s="99"/>
      <c r="M51" t="s">
        <v>211</v>
      </c>
    </row>
    <row r="52" spans="1:13" x14ac:dyDescent="0.25">
      <c r="A52">
        <v>1680</v>
      </c>
      <c r="B52">
        <f t="shared" si="0"/>
        <v>20.000000000000004</v>
      </c>
      <c r="C52" s="40">
        <v>0</v>
      </c>
      <c r="D52" s="23">
        <v>0</v>
      </c>
      <c r="E52" s="23">
        <v>0</v>
      </c>
      <c r="F52" s="23">
        <v>100</v>
      </c>
      <c r="G52" s="23">
        <v>0</v>
      </c>
      <c r="H52" s="23">
        <v>0</v>
      </c>
      <c r="I52" s="23">
        <v>0</v>
      </c>
      <c r="J52" s="23">
        <v>0</v>
      </c>
      <c r="K52" s="23">
        <v>20.000000000000004</v>
      </c>
      <c r="L52" s="23">
        <v>0</v>
      </c>
      <c r="M52" t="s">
        <v>211</v>
      </c>
    </row>
    <row r="53" spans="1:13" x14ac:dyDescent="0.25">
      <c r="A53">
        <v>1684</v>
      </c>
      <c r="B53">
        <f t="shared" si="0"/>
        <v>49.566000000000003</v>
      </c>
      <c r="C53" s="40">
        <v>15</v>
      </c>
      <c r="D53" s="23">
        <v>20</v>
      </c>
      <c r="E53" s="23">
        <v>5</v>
      </c>
      <c r="F53" s="23">
        <v>60</v>
      </c>
      <c r="G53" s="23">
        <v>0</v>
      </c>
      <c r="H53" s="23">
        <v>7.4348999999999998</v>
      </c>
      <c r="I53" s="23">
        <v>9.9132000000000016</v>
      </c>
      <c r="J53" s="23">
        <v>2.4783000000000004</v>
      </c>
      <c r="K53" s="23">
        <v>29.739599999999999</v>
      </c>
      <c r="L53" s="23">
        <v>0</v>
      </c>
      <c r="M53" t="s">
        <v>211</v>
      </c>
    </row>
    <row r="54" spans="1:13" x14ac:dyDescent="0.25">
      <c r="A54">
        <v>1691</v>
      </c>
      <c r="C54" s="98"/>
      <c r="D54" s="99"/>
      <c r="E54" s="99"/>
      <c r="F54" s="99"/>
      <c r="G54" s="99"/>
      <c r="H54" s="99"/>
      <c r="I54" s="99"/>
      <c r="J54" s="99"/>
      <c r="K54" s="99"/>
      <c r="L54" s="99"/>
      <c r="M54" t="s">
        <v>211</v>
      </c>
    </row>
    <row r="55" spans="1:13" x14ac:dyDescent="0.25">
      <c r="A55">
        <v>1714</v>
      </c>
      <c r="C55" s="98"/>
      <c r="D55" s="99"/>
      <c r="E55" s="99"/>
      <c r="F55" s="99"/>
      <c r="G55" s="99"/>
      <c r="H55" s="99"/>
      <c r="I55" s="99"/>
      <c r="J55" s="99"/>
      <c r="K55" s="99"/>
      <c r="L55" s="99"/>
      <c r="M55" t="s">
        <v>212</v>
      </c>
    </row>
    <row r="56" spans="1:13" x14ac:dyDescent="0.25">
      <c r="A56">
        <v>1730</v>
      </c>
      <c r="B56">
        <f t="shared" si="0"/>
        <v>6000</v>
      </c>
      <c r="C56" s="40">
        <v>0</v>
      </c>
      <c r="D56" s="23">
        <v>0</v>
      </c>
      <c r="E56" s="23">
        <v>0</v>
      </c>
      <c r="F56" s="23">
        <v>100</v>
      </c>
      <c r="G56" s="23">
        <v>0</v>
      </c>
      <c r="H56" s="23">
        <v>0</v>
      </c>
      <c r="I56" s="23">
        <v>0</v>
      </c>
      <c r="J56" s="23">
        <v>0</v>
      </c>
      <c r="K56" s="23">
        <v>6000</v>
      </c>
      <c r="L56" s="23">
        <v>0</v>
      </c>
      <c r="M56" t="s">
        <v>212</v>
      </c>
    </row>
    <row r="57" spans="1:13" x14ac:dyDescent="0.25">
      <c r="A57">
        <v>1731</v>
      </c>
      <c r="C57" s="98"/>
      <c r="D57" s="99"/>
      <c r="E57" s="99"/>
      <c r="F57" s="99"/>
      <c r="G57" s="99"/>
      <c r="H57" s="99"/>
      <c r="I57" s="99"/>
      <c r="J57" s="99"/>
      <c r="K57" s="99"/>
      <c r="L57" s="99"/>
      <c r="M57" t="s">
        <v>212</v>
      </c>
    </row>
    <row r="58" spans="1:13" x14ac:dyDescent="0.25">
      <c r="A58">
        <v>1735</v>
      </c>
      <c r="C58" s="98"/>
      <c r="D58" s="99"/>
      <c r="E58" s="99"/>
      <c r="F58" s="99"/>
      <c r="G58" s="99"/>
      <c r="H58" s="99"/>
      <c r="I58" s="99"/>
      <c r="J58" s="99"/>
      <c r="K58" s="99"/>
      <c r="L58" s="99"/>
      <c r="M58" t="s">
        <v>212</v>
      </c>
    </row>
    <row r="59" spans="1:13" x14ac:dyDescent="0.25">
      <c r="A59">
        <v>1739</v>
      </c>
      <c r="C59" s="98"/>
      <c r="D59" s="99"/>
      <c r="E59" s="99"/>
      <c r="F59" s="99"/>
      <c r="G59" s="99"/>
      <c r="H59" s="99"/>
      <c r="I59" s="99"/>
      <c r="J59" s="99"/>
      <c r="K59" s="99"/>
      <c r="L59" s="99"/>
      <c r="M59" t="s">
        <v>212</v>
      </c>
    </row>
    <row r="60" spans="1:13" x14ac:dyDescent="0.25">
      <c r="A60">
        <v>1744</v>
      </c>
      <c r="B60">
        <f t="shared" si="0"/>
        <v>3104.25</v>
      </c>
      <c r="C60" s="40">
        <v>1.7472351576625629</v>
      </c>
      <c r="D60" s="23">
        <v>0</v>
      </c>
      <c r="E60" s="23">
        <v>30.800637495376083</v>
      </c>
      <c r="F60" s="23">
        <v>35.850990641540228</v>
      </c>
      <c r="G60" s="23">
        <v>31.60113670542113</v>
      </c>
      <c r="H60" s="23">
        <v>54.238547381740112</v>
      </c>
      <c r="I60" s="23">
        <v>0</v>
      </c>
      <c r="J60" s="23">
        <v>956.12878945021203</v>
      </c>
      <c r="K60" s="23">
        <v>1112.9043769900125</v>
      </c>
      <c r="L60" s="23">
        <v>980.97828617803555</v>
      </c>
      <c r="M60" t="s">
        <v>212</v>
      </c>
    </row>
    <row r="61" spans="1:13" x14ac:dyDescent="0.25">
      <c r="A61">
        <v>1753</v>
      </c>
      <c r="C61" s="98"/>
      <c r="D61" s="99"/>
      <c r="E61" s="99"/>
      <c r="F61" s="99"/>
      <c r="G61" s="99"/>
      <c r="H61" s="99"/>
      <c r="I61" s="99"/>
      <c r="J61" s="99"/>
      <c r="K61" s="99"/>
      <c r="L61" s="99"/>
      <c r="M61" t="s">
        <v>212</v>
      </c>
    </row>
    <row r="62" spans="1:13" x14ac:dyDescent="0.25">
      <c r="A62">
        <v>1782</v>
      </c>
      <c r="B62">
        <f t="shared" si="0"/>
        <v>732.75</v>
      </c>
      <c r="C62" s="40">
        <v>10</v>
      </c>
      <c r="D62" s="23">
        <v>1</v>
      </c>
      <c r="E62" s="23">
        <v>1</v>
      </c>
      <c r="F62" s="23">
        <v>88</v>
      </c>
      <c r="G62" s="23">
        <v>0</v>
      </c>
      <c r="H62" s="23">
        <v>73.275000000000006</v>
      </c>
      <c r="I62" s="23">
        <v>7.3275000000000006</v>
      </c>
      <c r="J62" s="23">
        <v>7.3275000000000006</v>
      </c>
      <c r="K62" s="23">
        <v>644.82000000000005</v>
      </c>
      <c r="L62" s="23">
        <v>0</v>
      </c>
      <c r="M62" t="s">
        <v>212</v>
      </c>
    </row>
    <row r="63" spans="1:13" x14ac:dyDescent="0.25">
      <c r="A63">
        <v>1805</v>
      </c>
      <c r="B63">
        <f t="shared" si="0"/>
        <v>1696.2599431924075</v>
      </c>
      <c r="C63" s="40">
        <v>25.352112676056336</v>
      </c>
      <c r="D63" s="23">
        <v>25.352112676056336</v>
      </c>
      <c r="E63" s="23">
        <v>21.12676056338028</v>
      </c>
      <c r="F63" s="23">
        <v>28.169014084507044</v>
      </c>
      <c r="G63" s="23">
        <v>0</v>
      </c>
      <c r="H63" s="23">
        <v>430.03773207694837</v>
      </c>
      <c r="I63" s="23">
        <v>430.03773207694837</v>
      </c>
      <c r="J63" s="23">
        <v>358.36477673079031</v>
      </c>
      <c r="K63" s="23">
        <v>477.81970230772049</v>
      </c>
      <c r="L63" s="23">
        <v>0</v>
      </c>
      <c r="M63" t="s">
        <v>212</v>
      </c>
    </row>
    <row r="64" spans="1:13" x14ac:dyDescent="0.25">
      <c r="A64">
        <v>1808</v>
      </c>
      <c r="B64">
        <f t="shared" si="0"/>
        <v>1884.0155850664335</v>
      </c>
      <c r="C64" s="40">
        <v>0</v>
      </c>
      <c r="D64" s="23">
        <v>0</v>
      </c>
      <c r="E64" s="23">
        <v>28.479424797900666</v>
      </c>
      <c r="F64" s="23">
        <v>46.140167062374445</v>
      </c>
      <c r="G64" s="23">
        <v>25.380408139724896</v>
      </c>
      <c r="H64" s="23">
        <v>0</v>
      </c>
      <c r="I64" s="23">
        <v>0</v>
      </c>
      <c r="J64" s="23">
        <v>536.55680172972313</v>
      </c>
      <c r="K64" s="23">
        <v>869.28793843082371</v>
      </c>
      <c r="L64" s="23">
        <v>478.17084490588672</v>
      </c>
      <c r="M64" t="s">
        <v>212</v>
      </c>
    </row>
    <row r="65" spans="1:13" x14ac:dyDescent="0.25">
      <c r="A65">
        <v>1813</v>
      </c>
      <c r="C65" s="98"/>
      <c r="D65" s="99"/>
      <c r="E65" s="99"/>
      <c r="F65" s="99"/>
      <c r="G65" s="99"/>
      <c r="H65" s="99"/>
      <c r="I65" s="99"/>
      <c r="J65" s="99"/>
      <c r="K65" s="99"/>
      <c r="L65" s="99"/>
      <c r="M65" t="s">
        <v>212</v>
      </c>
    </row>
    <row r="66" spans="1:13" x14ac:dyDescent="0.25">
      <c r="A66">
        <v>1815</v>
      </c>
      <c r="B66">
        <f t="shared" si="0"/>
        <v>6131.9982639596592</v>
      </c>
      <c r="C66" s="40">
        <v>2.0992327779914572</v>
      </c>
      <c r="D66" s="23">
        <v>0</v>
      </c>
      <c r="E66" s="23">
        <v>5.595254964675398</v>
      </c>
      <c r="F66" s="23">
        <v>56.047018495651059</v>
      </c>
      <c r="G66" s="23">
        <v>36.258493761682089</v>
      </c>
      <c r="H66" s="23">
        <v>128.72491750290828</v>
      </c>
      <c r="I66" s="23">
        <v>0</v>
      </c>
      <c r="J66" s="23">
        <v>343.10093729801207</v>
      </c>
      <c r="K66" s="23">
        <v>3436.8022011544717</v>
      </c>
      <c r="L66" s="23">
        <v>2223.3702080042672</v>
      </c>
      <c r="M66" t="s">
        <v>212</v>
      </c>
    </row>
    <row r="67" spans="1:13" x14ac:dyDescent="0.25">
      <c r="A67">
        <v>1816</v>
      </c>
      <c r="B67">
        <f>SUM(H67:L67)</f>
        <v>7000</v>
      </c>
      <c r="C67" s="40">
        <v>0</v>
      </c>
      <c r="D67" s="23">
        <v>0</v>
      </c>
      <c r="E67" s="23">
        <v>0</v>
      </c>
      <c r="F67" s="23">
        <v>100</v>
      </c>
      <c r="G67" s="23">
        <v>0</v>
      </c>
      <c r="H67" s="23">
        <v>0</v>
      </c>
      <c r="I67" s="23">
        <v>0</v>
      </c>
      <c r="J67" s="23">
        <v>0</v>
      </c>
      <c r="K67" s="23">
        <v>7000</v>
      </c>
      <c r="L67" s="23">
        <v>0</v>
      </c>
      <c r="M67" t="s">
        <v>212</v>
      </c>
    </row>
    <row r="68" spans="1:13" x14ac:dyDescent="0.25">
      <c r="A68">
        <v>1820</v>
      </c>
      <c r="B68">
        <f t="shared" si="0"/>
        <v>1172.68</v>
      </c>
      <c r="C68" s="40">
        <v>0.10632702993163055</v>
      </c>
      <c r="D68" s="23">
        <v>0</v>
      </c>
      <c r="E68" s="23">
        <v>23.881787716877923</v>
      </c>
      <c r="F68" s="23">
        <v>75.206619969156264</v>
      </c>
      <c r="G68" s="23">
        <v>0.80526528403417708</v>
      </c>
      <c r="H68" s="23">
        <v>1.2468758146022452</v>
      </c>
      <c r="I68" s="23">
        <v>0</v>
      </c>
      <c r="J68" s="23">
        <v>280.05694819828403</v>
      </c>
      <c r="K68" s="23">
        <v>881.93299105430174</v>
      </c>
      <c r="L68" s="23">
        <v>9.4431849328119881</v>
      </c>
      <c r="M68" t="s">
        <v>212</v>
      </c>
    </row>
    <row r="69" spans="1:13" x14ac:dyDescent="0.25">
      <c r="A69">
        <v>1821</v>
      </c>
      <c r="C69" s="98"/>
      <c r="D69" s="99"/>
      <c r="E69" s="99"/>
      <c r="F69" s="99"/>
      <c r="G69" s="99"/>
      <c r="H69" s="99"/>
      <c r="I69" s="99"/>
      <c r="J69" s="99"/>
      <c r="K69" s="99"/>
      <c r="L69" s="99"/>
      <c r="M69" t="s">
        <v>212</v>
      </c>
    </row>
    <row r="70" spans="1:13" x14ac:dyDescent="0.25">
      <c r="A70">
        <v>1827</v>
      </c>
      <c r="B70">
        <f t="shared" ref="B70:B81" si="2">SUM(H70:L70)</f>
        <v>1224.1900000000005</v>
      </c>
      <c r="C70" s="40">
        <v>0.1089180993218415</v>
      </c>
      <c r="D70" s="23">
        <v>0</v>
      </c>
      <c r="E70" s="23">
        <v>33.374798644829546</v>
      </c>
      <c r="F70" s="23">
        <v>50.794242245317953</v>
      </c>
      <c r="G70" s="23">
        <v>15.72204101053066</v>
      </c>
      <c r="H70" s="23">
        <v>1.3333644800880518</v>
      </c>
      <c r="I70" s="23">
        <v>0</v>
      </c>
      <c r="J70" s="23">
        <v>408.57094753013894</v>
      </c>
      <c r="K70" s="23">
        <v>621.81803414295803</v>
      </c>
      <c r="L70" s="23">
        <v>192.46765384681535</v>
      </c>
      <c r="M70" t="s">
        <v>212</v>
      </c>
    </row>
    <row r="71" spans="1:13" x14ac:dyDescent="0.25">
      <c r="A71">
        <v>1832</v>
      </c>
      <c r="B71">
        <f t="shared" si="2"/>
        <v>29559.600000000002</v>
      </c>
      <c r="C71" s="40">
        <v>0</v>
      </c>
      <c r="D71" s="23">
        <v>0</v>
      </c>
      <c r="E71" s="23">
        <v>75</v>
      </c>
      <c r="F71" s="23">
        <v>25</v>
      </c>
      <c r="G71" s="23">
        <v>0</v>
      </c>
      <c r="H71" s="23">
        <v>0</v>
      </c>
      <c r="I71" s="23">
        <v>0</v>
      </c>
      <c r="J71" s="23">
        <v>22169.7</v>
      </c>
      <c r="K71" s="23">
        <v>7389.9000000000005</v>
      </c>
      <c r="L71" s="23">
        <v>0</v>
      </c>
      <c r="M71" t="s">
        <v>212</v>
      </c>
    </row>
    <row r="72" spans="1:13" x14ac:dyDescent="0.25">
      <c r="A72">
        <v>1838</v>
      </c>
      <c r="C72" s="40"/>
      <c r="D72" s="23"/>
      <c r="E72" s="23"/>
      <c r="F72" s="23"/>
      <c r="G72" s="23"/>
      <c r="H72" s="23"/>
      <c r="I72" s="23"/>
      <c r="J72" s="23"/>
      <c r="K72" s="23"/>
      <c r="L72" s="23"/>
      <c r="M72" t="s">
        <v>212</v>
      </c>
    </row>
    <row r="73" spans="1:13" x14ac:dyDescent="0.25">
      <c r="A73">
        <v>1876</v>
      </c>
      <c r="C73" s="98"/>
      <c r="D73" s="99"/>
      <c r="E73" s="99"/>
      <c r="F73" s="99"/>
      <c r="G73" s="99"/>
      <c r="H73" s="99"/>
      <c r="I73" s="99"/>
      <c r="J73" s="99"/>
      <c r="K73" s="99"/>
      <c r="L73" s="99"/>
      <c r="M73" t="s">
        <v>210</v>
      </c>
    </row>
    <row r="74" spans="1:13" x14ac:dyDescent="0.25">
      <c r="A74">
        <v>1882</v>
      </c>
      <c r="B74">
        <f t="shared" si="2"/>
        <v>801.14935427039813</v>
      </c>
      <c r="C74" s="40">
        <v>10</v>
      </c>
      <c r="D74" s="23">
        <v>10</v>
      </c>
      <c r="E74" s="23">
        <v>50</v>
      </c>
      <c r="F74" s="23">
        <v>20</v>
      </c>
      <c r="G74" s="23">
        <v>10</v>
      </c>
      <c r="H74" s="23">
        <v>80.114935427039825</v>
      </c>
      <c r="I74" s="23">
        <v>80.114935427039825</v>
      </c>
      <c r="J74" s="23">
        <v>400.57467713519912</v>
      </c>
      <c r="K74" s="23">
        <v>160.22987085407965</v>
      </c>
      <c r="L74" s="23">
        <v>80.114935427039825</v>
      </c>
      <c r="M74" t="s">
        <v>212</v>
      </c>
    </row>
    <row r="75" spans="1:13" x14ac:dyDescent="0.25">
      <c r="A75">
        <v>1883</v>
      </c>
      <c r="B75">
        <f t="shared" si="2"/>
        <v>21359.027999999998</v>
      </c>
      <c r="C75" s="40">
        <v>6</v>
      </c>
      <c r="D75" s="23">
        <v>1</v>
      </c>
      <c r="E75" s="23">
        <v>10</v>
      </c>
      <c r="F75" s="23">
        <v>80</v>
      </c>
      <c r="G75" s="23">
        <v>3</v>
      </c>
      <c r="H75" s="23">
        <v>1281.54168</v>
      </c>
      <c r="I75" s="23">
        <v>213.59027999999998</v>
      </c>
      <c r="J75" s="23">
        <v>2135.9027999999998</v>
      </c>
      <c r="K75" s="23">
        <v>17087.222399999999</v>
      </c>
      <c r="L75" s="23">
        <v>640.77084000000002</v>
      </c>
      <c r="M75" t="s">
        <v>212</v>
      </c>
    </row>
    <row r="76" spans="1:13" x14ac:dyDescent="0.25">
      <c r="A76">
        <v>1891</v>
      </c>
      <c r="C76" s="98"/>
      <c r="D76" s="99"/>
      <c r="E76" s="99"/>
      <c r="F76" s="99"/>
      <c r="G76" s="99"/>
      <c r="H76" s="99"/>
      <c r="I76" s="99"/>
      <c r="J76" s="99"/>
      <c r="K76" s="99"/>
      <c r="L76" s="99"/>
      <c r="M76" t="s">
        <v>212</v>
      </c>
    </row>
    <row r="77" spans="1:13" x14ac:dyDescent="0.25">
      <c r="A77">
        <v>1900</v>
      </c>
      <c r="B77">
        <f t="shared" si="2"/>
        <v>8050</v>
      </c>
      <c r="C77" s="40">
        <v>0</v>
      </c>
      <c r="D77" s="23">
        <v>0</v>
      </c>
      <c r="E77" s="23">
        <v>0</v>
      </c>
      <c r="F77" s="23">
        <v>100</v>
      </c>
      <c r="G77" s="23">
        <v>0</v>
      </c>
      <c r="H77" s="23">
        <v>0</v>
      </c>
      <c r="I77" s="23">
        <v>0</v>
      </c>
      <c r="J77" s="23">
        <v>0</v>
      </c>
      <c r="K77" s="23">
        <v>8050</v>
      </c>
      <c r="L77" s="23">
        <v>0</v>
      </c>
      <c r="M77" t="s">
        <v>212</v>
      </c>
    </row>
    <row r="78" spans="1:13" x14ac:dyDescent="0.25">
      <c r="A78">
        <v>1907</v>
      </c>
      <c r="B78">
        <f t="shared" si="2"/>
        <v>3485.1700000000005</v>
      </c>
      <c r="C78" s="40">
        <v>0</v>
      </c>
      <c r="D78" s="23">
        <v>0</v>
      </c>
      <c r="E78" s="23">
        <v>0</v>
      </c>
      <c r="F78" s="23">
        <v>100</v>
      </c>
      <c r="G78" s="23">
        <v>0</v>
      </c>
      <c r="H78" s="23">
        <v>0</v>
      </c>
      <c r="I78" s="23">
        <v>0</v>
      </c>
      <c r="J78" s="23">
        <v>0</v>
      </c>
      <c r="K78" s="23">
        <v>3485.1700000000005</v>
      </c>
      <c r="L78" s="23">
        <v>0</v>
      </c>
      <c r="M78" t="s">
        <v>212</v>
      </c>
    </row>
    <row r="79" spans="1:13" x14ac:dyDescent="0.25">
      <c r="A79">
        <v>1913</v>
      </c>
      <c r="C79" s="98"/>
      <c r="D79" s="99"/>
      <c r="E79" s="99"/>
      <c r="F79" s="99"/>
      <c r="G79" s="99"/>
      <c r="H79" s="99"/>
      <c r="I79" s="99"/>
      <c r="J79" s="99"/>
      <c r="K79" s="99"/>
      <c r="L79" s="99"/>
      <c r="M79" t="s">
        <v>213</v>
      </c>
    </row>
    <row r="80" spans="1:13" x14ac:dyDescent="0.25">
      <c r="A80">
        <v>1926</v>
      </c>
      <c r="B80">
        <f t="shared" si="2"/>
        <v>3258</v>
      </c>
      <c r="C80" s="40">
        <v>0</v>
      </c>
      <c r="D80" s="23">
        <v>0</v>
      </c>
      <c r="E80" s="23">
        <v>0</v>
      </c>
      <c r="F80" s="23">
        <v>100</v>
      </c>
      <c r="G80" s="23">
        <v>0</v>
      </c>
      <c r="H80" s="23">
        <v>0</v>
      </c>
      <c r="I80" s="23">
        <v>0</v>
      </c>
      <c r="J80" s="23">
        <v>0</v>
      </c>
      <c r="K80" s="23">
        <v>3258</v>
      </c>
      <c r="L80" s="23">
        <v>0</v>
      </c>
      <c r="M80" t="s">
        <v>210</v>
      </c>
    </row>
    <row r="81" spans="1:13" x14ac:dyDescent="0.25">
      <c r="A81">
        <v>1967</v>
      </c>
      <c r="B81">
        <f t="shared" si="2"/>
        <v>6536.4349644530894</v>
      </c>
      <c r="C81" s="40">
        <v>0</v>
      </c>
      <c r="D81" s="23">
        <v>0</v>
      </c>
      <c r="E81" s="23">
        <v>0</v>
      </c>
      <c r="F81" s="23">
        <v>100</v>
      </c>
      <c r="G81" s="23">
        <v>0</v>
      </c>
      <c r="H81" s="23">
        <v>0</v>
      </c>
      <c r="I81" s="23">
        <v>0</v>
      </c>
      <c r="J81" s="23">
        <v>0</v>
      </c>
      <c r="K81" s="23">
        <v>6536.4349644530894</v>
      </c>
      <c r="L81" s="23">
        <v>0</v>
      </c>
      <c r="M81" t="s">
        <v>210</v>
      </c>
    </row>
    <row r="82" spans="1:13" x14ac:dyDescent="0.25">
      <c r="A82">
        <v>1982</v>
      </c>
      <c r="B82">
        <f>SUM(H82:L82)</f>
        <v>14000</v>
      </c>
      <c r="C82" s="40">
        <v>40</v>
      </c>
      <c r="D82" s="23">
        <v>40</v>
      </c>
      <c r="E82" s="23">
        <v>10</v>
      </c>
      <c r="F82" s="23">
        <v>10</v>
      </c>
      <c r="G82" s="23">
        <v>0</v>
      </c>
      <c r="H82" s="23">
        <v>5600</v>
      </c>
      <c r="I82" s="23">
        <v>5600</v>
      </c>
      <c r="J82" s="23">
        <v>1400</v>
      </c>
      <c r="K82" s="23">
        <v>1400</v>
      </c>
      <c r="L82" s="23">
        <v>0</v>
      </c>
      <c r="M82" t="s">
        <v>210</v>
      </c>
    </row>
    <row r="83" spans="1:13" x14ac:dyDescent="0.25">
      <c r="A83">
        <v>1985</v>
      </c>
      <c r="B83">
        <f t="shared" ref="B83:B99" si="3">SUM(H83:L83)</f>
        <v>3698.8650000000002</v>
      </c>
      <c r="C83" s="40">
        <v>0</v>
      </c>
      <c r="D83" s="23">
        <v>0</v>
      </c>
      <c r="E83" s="23">
        <v>0</v>
      </c>
      <c r="F83" s="23">
        <v>100</v>
      </c>
      <c r="G83" s="23">
        <v>0</v>
      </c>
      <c r="H83" s="23">
        <v>0</v>
      </c>
      <c r="I83" s="23">
        <v>0</v>
      </c>
      <c r="J83" s="23">
        <v>0</v>
      </c>
      <c r="K83" s="23">
        <v>3698.8650000000002</v>
      </c>
      <c r="L83" s="23">
        <v>0</v>
      </c>
      <c r="M83" t="s">
        <v>210</v>
      </c>
    </row>
    <row r="84" spans="1:13" x14ac:dyDescent="0.25">
      <c r="A84">
        <v>1989</v>
      </c>
      <c r="B84">
        <f t="shared" si="3"/>
        <v>2500</v>
      </c>
      <c r="C84" s="40">
        <v>10</v>
      </c>
      <c r="D84" s="23">
        <v>5</v>
      </c>
      <c r="E84" s="23">
        <v>2.5</v>
      </c>
      <c r="F84" s="23">
        <v>80</v>
      </c>
      <c r="G84" s="23">
        <v>2.5</v>
      </c>
      <c r="H84" s="23">
        <v>250</v>
      </c>
      <c r="I84" s="23">
        <v>125</v>
      </c>
      <c r="J84" s="23">
        <v>62.5</v>
      </c>
      <c r="K84" s="23">
        <v>2000</v>
      </c>
      <c r="L84" s="23">
        <v>62.5</v>
      </c>
      <c r="M84" t="s">
        <v>210</v>
      </c>
    </row>
    <row r="85" spans="1:13" x14ac:dyDescent="0.25">
      <c r="A85">
        <v>2001</v>
      </c>
      <c r="C85" s="98"/>
      <c r="D85" s="99"/>
      <c r="E85" s="99"/>
      <c r="F85" s="99"/>
      <c r="G85" s="99"/>
      <c r="H85" s="99"/>
      <c r="I85" s="99"/>
      <c r="J85" s="99"/>
      <c r="K85" s="99"/>
      <c r="L85" s="99"/>
      <c r="M85" t="s">
        <v>213</v>
      </c>
    </row>
    <row r="86" spans="1:13" x14ac:dyDescent="0.25">
      <c r="A86">
        <v>2002</v>
      </c>
      <c r="C86" s="98"/>
      <c r="D86" s="99"/>
      <c r="E86" s="99"/>
      <c r="F86" s="99"/>
      <c r="G86" s="99"/>
      <c r="H86" s="99"/>
      <c r="I86" s="99"/>
      <c r="J86" s="99"/>
      <c r="K86" s="99"/>
      <c r="L86" s="99"/>
      <c r="M86" t="s">
        <v>210</v>
      </c>
    </row>
    <row r="87" spans="1:13" x14ac:dyDescent="0.25">
      <c r="A87">
        <v>2009</v>
      </c>
      <c r="B87">
        <f t="shared" si="3"/>
        <v>413.19273213688552</v>
      </c>
      <c r="C87" s="40">
        <v>30</v>
      </c>
      <c r="D87" s="23">
        <v>5</v>
      </c>
      <c r="E87" s="23">
        <v>30</v>
      </c>
      <c r="F87" s="23">
        <v>30</v>
      </c>
      <c r="G87" s="23">
        <v>5</v>
      </c>
      <c r="H87" s="23">
        <v>123.95781964106565</v>
      </c>
      <c r="I87" s="23">
        <v>20.65963660684428</v>
      </c>
      <c r="J87" s="23">
        <v>123.95781964106565</v>
      </c>
      <c r="K87" s="23">
        <v>123.95781964106565</v>
      </c>
      <c r="L87" s="23">
        <v>20.65963660684428</v>
      </c>
      <c r="M87" t="s">
        <v>210</v>
      </c>
    </row>
    <row r="88" spans="1:13" x14ac:dyDescent="0.25">
      <c r="A88">
        <v>2011</v>
      </c>
      <c r="B88">
        <f t="shared" si="3"/>
        <v>617.79753804157133</v>
      </c>
      <c r="C88" s="40">
        <v>0</v>
      </c>
      <c r="D88" s="23">
        <v>0</v>
      </c>
      <c r="E88" s="23">
        <v>0</v>
      </c>
      <c r="F88" s="23">
        <v>100</v>
      </c>
      <c r="G88" s="23">
        <v>0</v>
      </c>
      <c r="H88" s="23">
        <v>0</v>
      </c>
      <c r="I88" s="23">
        <v>0</v>
      </c>
      <c r="J88" s="23">
        <v>0</v>
      </c>
      <c r="K88" s="23">
        <v>617.79753804157133</v>
      </c>
      <c r="L88" s="23">
        <v>0</v>
      </c>
      <c r="M88" t="s">
        <v>212</v>
      </c>
    </row>
    <row r="89" spans="1:13" x14ac:dyDescent="0.25">
      <c r="A89">
        <v>2064</v>
      </c>
      <c r="C89" s="40"/>
      <c r="D89" s="23"/>
      <c r="E89" s="23"/>
      <c r="F89" s="23"/>
      <c r="G89" s="23"/>
      <c r="H89" s="23"/>
      <c r="I89" s="23"/>
      <c r="J89" s="23"/>
      <c r="K89" s="23"/>
      <c r="L89" s="23"/>
      <c r="M89" t="s">
        <v>213</v>
      </c>
    </row>
    <row r="90" spans="1:13" x14ac:dyDescent="0.25">
      <c r="A90">
        <v>2073</v>
      </c>
      <c r="B90">
        <f t="shared" si="3"/>
        <v>2100</v>
      </c>
      <c r="C90" s="40">
        <v>10</v>
      </c>
      <c r="D90" s="23">
        <v>5</v>
      </c>
      <c r="E90" s="23">
        <v>5</v>
      </c>
      <c r="F90" s="23">
        <v>80</v>
      </c>
      <c r="G90" s="23">
        <v>0</v>
      </c>
      <c r="H90" s="23">
        <v>210</v>
      </c>
      <c r="I90" s="23">
        <v>105</v>
      </c>
      <c r="J90" s="23">
        <v>105</v>
      </c>
      <c r="K90" s="23">
        <v>1680</v>
      </c>
      <c r="L90" s="23">
        <v>0</v>
      </c>
      <c r="M90" t="s">
        <v>210</v>
      </c>
    </row>
    <row r="91" spans="1:13" x14ac:dyDescent="0.25">
      <c r="A91">
        <v>2077</v>
      </c>
      <c r="C91" s="98"/>
      <c r="D91" s="99"/>
      <c r="E91" s="99"/>
      <c r="F91" s="99"/>
      <c r="G91" s="99"/>
      <c r="H91" s="99"/>
      <c r="I91" s="99"/>
      <c r="J91" s="99"/>
      <c r="K91" s="99"/>
      <c r="L91" s="99"/>
      <c r="M91" t="s">
        <v>210</v>
      </c>
    </row>
    <row r="92" spans="1:13" x14ac:dyDescent="0.25">
      <c r="A92">
        <v>2082</v>
      </c>
      <c r="B92">
        <f t="shared" si="3"/>
        <v>4449.380000000001</v>
      </c>
      <c r="C92" s="40">
        <v>0</v>
      </c>
      <c r="D92" s="23">
        <v>0</v>
      </c>
      <c r="E92" s="23">
        <v>0</v>
      </c>
      <c r="F92" s="23">
        <v>100</v>
      </c>
      <c r="G92" s="23">
        <v>0</v>
      </c>
      <c r="H92" s="23">
        <v>0</v>
      </c>
      <c r="I92" s="23">
        <v>0</v>
      </c>
      <c r="J92" s="23">
        <v>0</v>
      </c>
      <c r="K92" s="23">
        <v>4449.380000000001</v>
      </c>
      <c r="L92" s="23">
        <v>0</v>
      </c>
      <c r="M92" t="s">
        <v>212</v>
      </c>
    </row>
    <row r="93" spans="1:13" x14ac:dyDescent="0.25">
      <c r="A93">
        <v>2124</v>
      </c>
      <c r="B93">
        <f t="shared" si="3"/>
        <v>1119.6590000000001</v>
      </c>
      <c r="C93" s="40">
        <v>5</v>
      </c>
      <c r="D93" s="23">
        <v>5</v>
      </c>
      <c r="E93" s="23">
        <v>70</v>
      </c>
      <c r="F93" s="23">
        <v>15</v>
      </c>
      <c r="G93" s="23">
        <v>5</v>
      </c>
      <c r="H93" s="23">
        <v>55.982949999999995</v>
      </c>
      <c r="I93" s="23">
        <v>55.982949999999995</v>
      </c>
      <c r="J93" s="23">
        <v>783.76129999999989</v>
      </c>
      <c r="K93" s="23">
        <v>167.94884999999999</v>
      </c>
      <c r="L93" s="23">
        <v>55.982949999999995</v>
      </c>
      <c r="M93" t="s">
        <v>213</v>
      </c>
    </row>
    <row r="94" spans="1:13" x14ac:dyDescent="0.25">
      <c r="A94">
        <v>2368</v>
      </c>
      <c r="B94">
        <f t="shared" si="3"/>
        <v>5352.2299134734239</v>
      </c>
      <c r="C94" s="40">
        <v>3</v>
      </c>
      <c r="D94" s="23">
        <v>0</v>
      </c>
      <c r="E94" s="23">
        <v>0</v>
      </c>
      <c r="F94" s="23">
        <v>97</v>
      </c>
      <c r="G94" s="23">
        <v>0</v>
      </c>
      <c r="H94" s="23">
        <v>160.56689740420273</v>
      </c>
      <c r="I94" s="23">
        <v>0</v>
      </c>
      <c r="J94" s="23">
        <v>0</v>
      </c>
      <c r="K94" s="23">
        <v>5191.6630160692212</v>
      </c>
      <c r="L94" s="23">
        <v>0</v>
      </c>
      <c r="M94" t="s">
        <v>210</v>
      </c>
    </row>
    <row r="95" spans="1:13" x14ac:dyDescent="0.25">
      <c r="A95">
        <v>2371</v>
      </c>
      <c r="B95">
        <f t="shared" si="3"/>
        <v>1400</v>
      </c>
      <c r="C95" s="40">
        <v>0</v>
      </c>
      <c r="D95" s="23">
        <v>0</v>
      </c>
      <c r="E95" s="23">
        <v>0</v>
      </c>
      <c r="F95" s="23">
        <v>100</v>
      </c>
      <c r="G95" s="23">
        <v>0</v>
      </c>
      <c r="H95" s="23">
        <v>0</v>
      </c>
      <c r="I95" s="23">
        <v>0</v>
      </c>
      <c r="J95" s="23">
        <v>0</v>
      </c>
      <c r="K95" s="23">
        <v>1400</v>
      </c>
      <c r="L95" s="23">
        <v>0</v>
      </c>
      <c r="M95" t="s">
        <v>211</v>
      </c>
    </row>
    <row r="96" spans="1:13" x14ac:dyDescent="0.25">
      <c r="A96">
        <v>2373</v>
      </c>
      <c r="C96" s="98"/>
      <c r="D96" s="99"/>
      <c r="E96" s="99"/>
      <c r="F96" s="99"/>
      <c r="G96" s="99"/>
      <c r="H96" s="99"/>
      <c r="I96" s="99"/>
      <c r="J96" s="99"/>
      <c r="K96" s="99"/>
      <c r="L96" s="99"/>
      <c r="M96" t="s">
        <v>211</v>
      </c>
    </row>
    <row r="97" spans="1:13" x14ac:dyDescent="0.25">
      <c r="A97">
        <v>2376</v>
      </c>
      <c r="B97">
        <f>SUM(H97:L97)</f>
        <v>6131.46</v>
      </c>
      <c r="C97" s="40">
        <v>2</v>
      </c>
      <c r="D97" s="23">
        <v>1</v>
      </c>
      <c r="E97" s="23">
        <v>2</v>
      </c>
      <c r="F97" s="23">
        <v>95</v>
      </c>
      <c r="G97" s="23">
        <v>0</v>
      </c>
      <c r="H97" s="23">
        <v>122.6292</v>
      </c>
      <c r="I97" s="23">
        <v>61.314599999999999</v>
      </c>
      <c r="J97" s="23">
        <v>122.6292</v>
      </c>
      <c r="K97" s="23">
        <v>5824.8869999999997</v>
      </c>
      <c r="L97" s="23">
        <v>0</v>
      </c>
      <c r="M97" t="s">
        <v>210</v>
      </c>
    </row>
    <row r="98" spans="1:13" x14ac:dyDescent="0.25">
      <c r="A98">
        <v>2379</v>
      </c>
      <c r="B98">
        <f t="shared" si="3"/>
        <v>1599.9999999999998</v>
      </c>
      <c r="C98" s="40">
        <v>0</v>
      </c>
      <c r="D98" s="23">
        <v>0</v>
      </c>
      <c r="E98" s="23">
        <v>0</v>
      </c>
      <c r="F98" s="23">
        <v>100</v>
      </c>
      <c r="G98" s="23">
        <v>0</v>
      </c>
      <c r="H98" s="23">
        <v>0</v>
      </c>
      <c r="I98" s="23">
        <v>0</v>
      </c>
      <c r="J98" s="23">
        <v>0</v>
      </c>
      <c r="K98" s="23">
        <v>1599.9999999999998</v>
      </c>
      <c r="L98" s="23">
        <v>0</v>
      </c>
      <c r="M98" t="s">
        <v>210</v>
      </c>
    </row>
    <row r="99" spans="1:13" x14ac:dyDescent="0.25">
      <c r="A99">
        <v>2380</v>
      </c>
      <c r="B99">
        <f t="shared" si="3"/>
        <v>6783.91506663375</v>
      </c>
      <c r="C99" s="40">
        <v>0</v>
      </c>
      <c r="D99" s="23">
        <v>0</v>
      </c>
      <c r="E99" s="23">
        <v>0</v>
      </c>
      <c r="F99" s="23">
        <v>100</v>
      </c>
      <c r="G99" s="23">
        <v>0</v>
      </c>
      <c r="H99" s="23">
        <v>0</v>
      </c>
      <c r="I99" s="23">
        <v>0</v>
      </c>
      <c r="J99" s="23">
        <v>0</v>
      </c>
      <c r="K99" s="23">
        <v>6783.91506663375</v>
      </c>
      <c r="L99" s="23">
        <v>0</v>
      </c>
      <c r="M99" t="s">
        <v>210</v>
      </c>
    </row>
    <row r="100" spans="1:13" x14ac:dyDescent="0.25">
      <c r="B100" t="s">
        <v>299</v>
      </c>
    </row>
    <row r="101" spans="1:13" x14ac:dyDescent="0.25">
      <c r="A101" t="s">
        <v>298</v>
      </c>
      <c r="B101">
        <f>AVERAGE(B2:B99)</f>
        <v>12693.009674854025</v>
      </c>
      <c r="C101">
        <f t="shared" ref="C101:L101" si="4">AVERAGE(C2:C99)</f>
        <v>6.3908564511306416</v>
      </c>
      <c r="D101">
        <f t="shared" si="4"/>
        <v>4.8594406889412385</v>
      </c>
      <c r="E101">
        <f t="shared" si="4"/>
        <v>11.190870188452925</v>
      </c>
      <c r="F101">
        <f t="shared" si="4"/>
        <v>72.648976295257327</v>
      </c>
      <c r="G101">
        <f t="shared" si="4"/>
        <v>4.9098563762178573</v>
      </c>
      <c r="H101">
        <f t="shared" si="4"/>
        <v>536.04988850394795</v>
      </c>
      <c r="I101">
        <f t="shared" si="4"/>
        <v>390.29086450154091</v>
      </c>
      <c r="J101">
        <f t="shared" si="4"/>
        <v>800.82221681859323</v>
      </c>
      <c r="K101">
        <f t="shared" si="4"/>
        <v>10618.679904390148</v>
      </c>
      <c r="L101">
        <f t="shared" si="4"/>
        <v>160.50489365664146</v>
      </c>
    </row>
    <row r="102" spans="1:13" x14ac:dyDescent="0.25">
      <c r="L102">
        <f>SUM(H101:L101)</f>
        <v>12506.347767870873</v>
      </c>
    </row>
    <row r="105" spans="1:13" ht="15.75" thickBot="1" x14ac:dyDescent="0.3"/>
    <row r="106" spans="1:13" ht="15.75" thickBot="1" x14ac:dyDescent="0.3">
      <c r="C106" s="161" t="s">
        <v>119</v>
      </c>
      <c r="D106" s="162" t="s">
        <v>120</v>
      </c>
      <c r="E106" s="162" t="s">
        <v>139</v>
      </c>
      <c r="F106" s="162" t="s">
        <v>140</v>
      </c>
      <c r="G106" s="162" t="s">
        <v>124</v>
      </c>
      <c r="H106" s="162" t="s">
        <v>141</v>
      </c>
      <c r="I106" s="162" t="s">
        <v>142</v>
      </c>
      <c r="J106" s="162" t="s">
        <v>143</v>
      </c>
      <c r="K106" s="162" t="s">
        <v>144</v>
      </c>
      <c r="L106" s="162" t="s">
        <v>145</v>
      </c>
    </row>
    <row r="107" spans="1:13" x14ac:dyDescent="0.25">
      <c r="B107" t="s">
        <v>301</v>
      </c>
      <c r="C107">
        <v>6.3908564511306416</v>
      </c>
      <c r="D107">
        <v>4.8594406889412385</v>
      </c>
      <c r="E107">
        <v>11.190870188452925</v>
      </c>
      <c r="F107">
        <v>72.648976295257327</v>
      </c>
      <c r="G107">
        <v>4.9098563762178573</v>
      </c>
      <c r="H107">
        <v>536.04988850394795</v>
      </c>
      <c r="I107">
        <v>390.29086450154091</v>
      </c>
      <c r="J107">
        <v>800.82221681859323</v>
      </c>
      <c r="K107">
        <v>10618.679904390148</v>
      </c>
      <c r="L107">
        <v>160.50489365664146</v>
      </c>
    </row>
    <row r="108" spans="1:13" x14ac:dyDescent="0.25">
      <c r="B108" t="s">
        <v>211</v>
      </c>
      <c r="C108">
        <v>12.144189307795521</v>
      </c>
      <c r="D108">
        <v>10.144522144522146</v>
      </c>
      <c r="E108">
        <v>4.8205128205128203</v>
      </c>
      <c r="F108">
        <v>72.890775727169512</v>
      </c>
      <c r="G108">
        <v>0</v>
      </c>
      <c r="H108">
        <v>1090.2214284276922</v>
      </c>
      <c r="I108">
        <v>312.62341678321678</v>
      </c>
      <c r="J108">
        <v>53.238258041958041</v>
      </c>
      <c r="K108">
        <v>2650.4858162982473</v>
      </c>
      <c r="L108">
        <v>0</v>
      </c>
    </row>
    <row r="109" spans="1:13" x14ac:dyDescent="0.25">
      <c r="B109" t="s">
        <v>210</v>
      </c>
      <c r="C109">
        <v>6.1407359718353849</v>
      </c>
      <c r="D109">
        <v>2.6107142857142853</v>
      </c>
      <c r="E109">
        <v>5.9243489097796012</v>
      </c>
      <c r="F109">
        <v>78.627772261242157</v>
      </c>
      <c r="G109">
        <v>6.6964285714285712</v>
      </c>
      <c r="H109">
        <v>550.88415704080614</v>
      </c>
      <c r="I109">
        <v>245.228598728827</v>
      </c>
      <c r="J109">
        <v>615.79882213003805</v>
      </c>
      <c r="K109">
        <v>20935.415701411279</v>
      </c>
      <c r="L109">
        <v>215.05415061614303</v>
      </c>
    </row>
    <row r="110" spans="1:13" x14ac:dyDescent="0.25">
      <c r="B110" t="s">
        <v>213</v>
      </c>
      <c r="C110">
        <f t="shared" ref="C110:L110" si="5">AVERAGE(C90:C107)</f>
        <v>3.2781712902261284</v>
      </c>
      <c r="D110">
        <f t="shared" si="5"/>
        <v>2.0718881377882474</v>
      </c>
      <c r="E110">
        <f t="shared" si="5"/>
        <v>9.9381740376905832</v>
      </c>
      <c r="F110">
        <f t="shared" si="5"/>
        <v>83.229795259051457</v>
      </c>
      <c r="G110">
        <f t="shared" si="5"/>
        <v>1.4819712752435712</v>
      </c>
      <c r="H110">
        <f t="shared" si="5"/>
        <v>162.12788244120983</v>
      </c>
      <c r="I110">
        <f t="shared" si="5"/>
        <v>100.28792790030818</v>
      </c>
      <c r="J110">
        <f t="shared" si="5"/>
        <v>261.30349336371864</v>
      </c>
      <c r="K110">
        <f t="shared" si="5"/>
        <v>4833.5153741483273</v>
      </c>
      <c r="L110">
        <f t="shared" si="5"/>
        <v>1171.2127731985597</v>
      </c>
    </row>
    <row r="111" spans="1:13" x14ac:dyDescent="0.25">
      <c r="B111" t="s">
        <v>212</v>
      </c>
      <c r="C111">
        <v>4.5542987278472102</v>
      </c>
      <c r="D111">
        <v>5.2521978699249718</v>
      </c>
      <c r="E111">
        <v>17.946105771870641</v>
      </c>
      <c r="F111">
        <v>66.909686982470518</v>
      </c>
      <c r="G111">
        <v>5.3377106478866496</v>
      </c>
      <c r="H111">
        <v>376.92493644332819</v>
      </c>
      <c r="I111">
        <v>681.30356004384123</v>
      </c>
      <c r="J111">
        <v>1497.5617414002957</v>
      </c>
      <c r="K111">
        <v>4429.53349078265</v>
      </c>
      <c r="L111">
        <v>200.23112840412421</v>
      </c>
    </row>
    <row r="113" spans="1:12" ht="15.75" thickBot="1" x14ac:dyDescent="0.3"/>
    <row r="114" spans="1:12" ht="15.75" thickBot="1" x14ac:dyDescent="0.3">
      <c r="C114" t="s">
        <v>302</v>
      </c>
      <c r="D114" s="161" t="s">
        <v>119</v>
      </c>
      <c r="E114" s="162" t="s">
        <v>120</v>
      </c>
      <c r="F114" s="162" t="s">
        <v>139</v>
      </c>
      <c r="G114" s="162" t="s">
        <v>140</v>
      </c>
      <c r="H114" s="162" t="s">
        <v>124</v>
      </c>
      <c r="I114" s="162" t="s">
        <v>141</v>
      </c>
      <c r="J114" s="162" t="s">
        <v>142</v>
      </c>
      <c r="K114" s="162" t="s">
        <v>143</v>
      </c>
      <c r="L114" s="162" t="s">
        <v>144</v>
      </c>
    </row>
    <row r="115" spans="1:12" x14ac:dyDescent="0.25">
      <c r="B115" t="s">
        <v>301</v>
      </c>
      <c r="C115">
        <f>SUM(B2:B99)</f>
        <v>850431.64821521973</v>
      </c>
    </row>
    <row r="116" spans="1:12" x14ac:dyDescent="0.25">
      <c r="A116">
        <f>C116/$C$115</f>
        <v>5.311685919716673E-2</v>
      </c>
      <c r="B116" t="s">
        <v>211</v>
      </c>
      <c r="C116">
        <v>45172.258115062257</v>
      </c>
    </row>
    <row r="117" spans="1:12" x14ac:dyDescent="0.25">
      <c r="A117">
        <f t="shared" ref="A117:A119" si="6">C117/$C$115</f>
        <v>0.74285415102294228</v>
      </c>
      <c r="B117" t="s">
        <v>210</v>
      </c>
      <c r="C117">
        <v>631746.68003795855</v>
      </c>
    </row>
    <row r="118" spans="1:12" x14ac:dyDescent="0.25">
      <c r="A118">
        <f t="shared" si="6"/>
        <v>9.6950158978616353E-3</v>
      </c>
      <c r="B118" t="s">
        <v>213</v>
      </c>
      <c r="C118">
        <v>8244.9483494912292</v>
      </c>
    </row>
    <row r="119" spans="1:12" x14ac:dyDescent="0.25">
      <c r="A119">
        <f t="shared" si="6"/>
        <v>0.19433397388202917</v>
      </c>
      <c r="B119" t="s">
        <v>212</v>
      </c>
      <c r="C119">
        <v>165267.76171270752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All data</vt:lpstr>
      <vt:lpstr>Wood Category Responses Only</vt:lpstr>
      <vt:lpstr>South</vt:lpstr>
      <vt:lpstr>Midwest</vt:lpstr>
      <vt:lpstr>Northeast</vt:lpstr>
      <vt:lpstr>West</vt:lpstr>
      <vt:lpstr>Volume to weight converstion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shiner</dc:creator>
  <cp:lastModifiedBy>Windows User</cp:lastModifiedBy>
  <dcterms:created xsi:type="dcterms:W3CDTF">2017-10-15T23:53:54Z</dcterms:created>
  <dcterms:modified xsi:type="dcterms:W3CDTF">2018-06-19T22:05:21Z</dcterms:modified>
</cp:coreProperties>
</file>