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19"/>
  <workbookPr autoCompressPictures="0"/>
  <mc:AlternateContent xmlns:mc="http://schemas.openxmlformats.org/markup-compatibility/2006">
    <mc:Choice Requires="x15">
      <x15ac:absPath xmlns:x15ac="http://schemas.microsoft.com/office/spreadsheetml/2010/11/ac" url="/Users/Zack/Documents/Research/"/>
    </mc:Choice>
  </mc:AlternateContent>
  <xr:revisionPtr revIDLastSave="0" documentId="12_ncr:500000_{38785BBA-D01B-A549-AABA-600607BC304F}" xr6:coauthVersionLast="31" xr6:coauthVersionMax="31" xr10:uidLastSave="{00000000-0000-0000-0000-000000000000}"/>
  <bookViews>
    <workbookView xWindow="0" yWindow="460" windowWidth="25600" windowHeight="14180" activeTab="1" xr2:uid="{00000000-000D-0000-FFFF-FFFF00000000}"/>
  </bookViews>
  <sheets>
    <sheet name="Summary" sheetId="4" r:id="rId1"/>
    <sheet name="Raw Data" sheetId="3" r:id="rId2"/>
    <sheet name="West" sheetId="8" r:id="rId3"/>
    <sheet name="Midwest" sheetId="10" r:id="rId4"/>
    <sheet name="Northeast" sheetId="9" r:id="rId5"/>
    <sheet name="South" sheetId="7" r:id="rId6"/>
    <sheet name="CD Survey Final_August 21, 2017" sheetId="1" r:id="rId7"/>
    <sheet name="Key" sheetId="2" r:id="rId8"/>
  </sheets>
  <definedNames>
    <definedName name="_xlnm._FilterDatabase" localSheetId="6" hidden="1">'CD Survey Final_August 21, 2017'!$A$1:$A$33</definedName>
    <definedName name="_xlnm._FilterDatabase" localSheetId="1" hidden="1">'Raw Data'!$A$2:$CR$82</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R73" i="3" l="1"/>
  <c r="R72" i="3"/>
  <c r="BP152" i="3" l="1"/>
  <c r="BP151" i="3"/>
  <c r="BQ150" i="3"/>
  <c r="BP150" i="3"/>
  <c r="BR149" i="3"/>
  <c r="BR148" i="3"/>
  <c r="BR147" i="3"/>
  <c r="BL147" i="3"/>
  <c r="BN149" i="3"/>
  <c r="BN126" i="3"/>
  <c r="BP80" i="3"/>
  <c r="BO80" i="3"/>
  <c r="BN80" i="3"/>
  <c r="BM80" i="3"/>
  <c r="BL80" i="3"/>
  <c r="BN73" i="3"/>
  <c r="BM73" i="3"/>
  <c r="BQ72" i="3"/>
  <c r="BP73" i="3" s="1"/>
  <c r="BM72" i="3"/>
  <c r="BN72" i="3"/>
  <c r="BO72" i="3"/>
  <c r="BP72" i="3"/>
  <c r="BL72" i="3"/>
  <c r="AG83" i="3"/>
  <c r="S73" i="3"/>
  <c r="AE87" i="3"/>
  <c r="AG81" i="3"/>
  <c r="AF81" i="3"/>
  <c r="AO73" i="3"/>
  <c r="AN73" i="3"/>
  <c r="AM73" i="3"/>
  <c r="AL73" i="3"/>
  <c r="AK73" i="3"/>
  <c r="AJ73" i="3"/>
  <c r="AO72" i="3"/>
  <c r="AN72" i="3"/>
  <c r="AM72" i="3"/>
  <c r="AL72" i="3"/>
  <c r="AK72" i="3"/>
  <c r="AJ72" i="3"/>
  <c r="AH71" i="3"/>
  <c r="Q73" i="3"/>
  <c r="P73" i="3"/>
  <c r="O73" i="3"/>
  <c r="Q72" i="3"/>
  <c r="P72" i="3"/>
  <c r="O72" i="3"/>
  <c r="R71" i="3"/>
  <c r="Q71" i="3"/>
  <c r="P71" i="3"/>
  <c r="O71" i="3"/>
  <c r="S70" i="3"/>
  <c r="P70" i="3"/>
  <c r="Q70" i="3"/>
  <c r="R70" i="3"/>
  <c r="O70" i="3"/>
  <c r="BO73" i="3" l="1"/>
  <c r="BL73" i="3"/>
  <c r="AO71" i="3"/>
  <c r="AN71" i="3"/>
  <c r="AM71" i="3"/>
  <c r="AL71" i="3"/>
  <c r="AK71" i="3"/>
  <c r="AJ71" i="3"/>
  <c r="AP70" i="3"/>
  <c r="AK70" i="3"/>
  <c r="AL70" i="3"/>
  <c r="AM70" i="3"/>
  <c r="AN70" i="3"/>
  <c r="AO70" i="3"/>
  <c r="AJ70" i="3"/>
  <c r="L58" i="3" l="1"/>
  <c r="L66" i="3"/>
  <c r="M58" i="3"/>
  <c r="M66" i="3"/>
  <c r="N58" i="3"/>
  <c r="N66" i="3"/>
  <c r="Z72" i="3"/>
  <c r="Z71" i="3"/>
  <c r="Z70" i="3"/>
  <c r="Z68" i="3"/>
  <c r="Q57" i="3"/>
  <c r="M57" i="3"/>
  <c r="AK66" i="3"/>
  <c r="AL66" i="3"/>
  <c r="AM66" i="3"/>
  <c r="AN66" i="3"/>
  <c r="AO66" i="3"/>
  <c r="AD66" i="3"/>
  <c r="AI66" i="3"/>
  <c r="AH66" i="3"/>
  <c r="AG66" i="3"/>
  <c r="AF66" i="3"/>
  <c r="AE66" i="3"/>
  <c r="BL66" i="3"/>
  <c r="BM66" i="3"/>
  <c r="BN66" i="3"/>
  <c r="BO66" i="3"/>
  <c r="BP66" i="3"/>
  <c r="C64" i="4" s="1"/>
  <c r="P45" i="3"/>
  <c r="R45" i="3"/>
  <c r="O45" i="3"/>
  <c r="P30" i="3"/>
  <c r="G30" i="3" s="1"/>
  <c r="Q30" i="3"/>
  <c r="R30" i="3"/>
  <c r="O30" i="3"/>
  <c r="P29" i="3"/>
  <c r="P66" i="3" s="1"/>
  <c r="C14" i="4" s="1"/>
  <c r="G32" i="3"/>
  <c r="G33" i="3"/>
  <c r="G34" i="3"/>
  <c r="G35" i="3"/>
  <c r="G36" i="3"/>
  <c r="G37" i="3"/>
  <c r="G38" i="3"/>
  <c r="G39" i="3"/>
  <c r="G40" i="3"/>
  <c r="G41" i="3"/>
  <c r="G42" i="3"/>
  <c r="G43" i="3"/>
  <c r="G44" i="3"/>
  <c r="G46" i="3"/>
  <c r="G47" i="3"/>
  <c r="G48" i="3"/>
  <c r="G49" i="3"/>
  <c r="G50" i="3"/>
  <c r="G51" i="3"/>
  <c r="G52" i="3"/>
  <c r="G53" i="3"/>
  <c r="G54" i="3"/>
  <c r="G55" i="3"/>
  <c r="G56" i="3"/>
  <c r="G57" i="3"/>
  <c r="G58" i="3"/>
  <c r="G59" i="3"/>
  <c r="G60" i="3"/>
  <c r="G61" i="3"/>
  <c r="G62" i="3"/>
  <c r="G63" i="3"/>
  <c r="G64" i="3"/>
  <c r="G24" i="3"/>
  <c r="G25" i="3"/>
  <c r="G26" i="3"/>
  <c r="G27" i="3"/>
  <c r="G28" i="3"/>
  <c r="G31" i="3"/>
  <c r="G11" i="3"/>
  <c r="G12" i="3"/>
  <c r="G13" i="3"/>
  <c r="G14" i="3"/>
  <c r="G15" i="3"/>
  <c r="G16" i="3"/>
  <c r="G17" i="3"/>
  <c r="G18" i="3"/>
  <c r="G19" i="3"/>
  <c r="G20" i="3"/>
  <c r="G21" i="3"/>
  <c r="G22" i="3"/>
  <c r="G23" i="3"/>
  <c r="G4" i="3"/>
  <c r="G5" i="3"/>
  <c r="G6" i="3"/>
  <c r="G7" i="3"/>
  <c r="G8" i="3"/>
  <c r="G9" i="3"/>
  <c r="G10" i="3"/>
  <c r="G3" i="3"/>
  <c r="AJ66" i="3"/>
  <c r="K58" i="3"/>
  <c r="K66" i="3" s="1"/>
  <c r="F5" i="3"/>
  <c r="F67" i="3" s="1"/>
  <c r="F27" i="3"/>
  <c r="F29" i="3"/>
  <c r="Q29" i="3" s="1"/>
  <c r="F43" i="3"/>
  <c r="F44" i="3"/>
  <c r="F45" i="3"/>
  <c r="Q45" i="3" s="1"/>
  <c r="C34" i="4"/>
  <c r="C40" i="4" s="1"/>
  <c r="C35" i="4"/>
  <c r="C36" i="4"/>
  <c r="C37" i="4"/>
  <c r="C38" i="4"/>
  <c r="C39" i="4"/>
  <c r="AX114" i="3"/>
  <c r="BC67" i="3"/>
  <c r="BC75" i="3" s="1"/>
  <c r="AY89" i="3" s="1"/>
  <c r="BC68" i="3"/>
  <c r="BC71" i="3" s="1"/>
  <c r="G51" i="4" s="1"/>
  <c r="BC66" i="3"/>
  <c r="BE66" i="3"/>
  <c r="BE69" i="3"/>
  <c r="BE70" i="3"/>
  <c r="BE78" i="3" s="1"/>
  <c r="BB67" i="3"/>
  <c r="BB68" i="3"/>
  <c r="BB71" i="3"/>
  <c r="AY88" i="3"/>
  <c r="BB66" i="3"/>
  <c r="BB70" i="3"/>
  <c r="AX88" i="3"/>
  <c r="BA67" i="3"/>
  <c r="BA71" i="3" s="1"/>
  <c r="BA68" i="3"/>
  <c r="BA66" i="3"/>
  <c r="BA70" i="3" s="1"/>
  <c r="AZ67" i="3"/>
  <c r="AZ71" i="3" s="1"/>
  <c r="AZ68" i="3"/>
  <c r="AZ66" i="3"/>
  <c r="AZ74" i="3" s="1"/>
  <c r="AZ70" i="3"/>
  <c r="AX86" i="3" s="1"/>
  <c r="AY67" i="3"/>
  <c r="AY68" i="3"/>
  <c r="AY71" i="3"/>
  <c r="AY85" i="3" s="1"/>
  <c r="AY66" i="3"/>
  <c r="AY74" i="3" s="1"/>
  <c r="AY70" i="3"/>
  <c r="AX85" i="3"/>
  <c r="AX67" i="3"/>
  <c r="AX68" i="3"/>
  <c r="AX71" i="3"/>
  <c r="AY84" i="3"/>
  <c r="AX66" i="3"/>
  <c r="AX70" i="3"/>
  <c r="AX84" i="3"/>
  <c r="AW67" i="3"/>
  <c r="AW71" i="3" s="1"/>
  <c r="AW68" i="3"/>
  <c r="AW66" i="3"/>
  <c r="AW70" i="3" s="1"/>
  <c r="AV67" i="3"/>
  <c r="AV71" i="3" s="1"/>
  <c r="AV68" i="3"/>
  <c r="AV66" i="3"/>
  <c r="AV74" i="3" s="1"/>
  <c r="AV70" i="3"/>
  <c r="AX82" i="3" s="1"/>
  <c r="AU67" i="3"/>
  <c r="AU68" i="3"/>
  <c r="AU71" i="3"/>
  <c r="AY81" i="3" s="1"/>
  <c r="AU66" i="3"/>
  <c r="AU74" i="3" s="1"/>
  <c r="AU70" i="3"/>
  <c r="AX81" i="3"/>
  <c r="AT67" i="3"/>
  <c r="AT68" i="3"/>
  <c r="AT74" i="3" s="1"/>
  <c r="AT71" i="3"/>
  <c r="AY80" i="3"/>
  <c r="AT66" i="3"/>
  <c r="AT70" i="3"/>
  <c r="AX80" i="3"/>
  <c r="AU75" i="3"/>
  <c r="AX75" i="3"/>
  <c r="AY75" i="3"/>
  <c r="BB75" i="3"/>
  <c r="AT75" i="3"/>
  <c r="AX74" i="3"/>
  <c r="BB74" i="3"/>
  <c r="BZ67" i="3"/>
  <c r="BX83" i="3"/>
  <c r="BX67" i="3"/>
  <c r="BX82" i="3" s="1"/>
  <c r="BY66" i="3"/>
  <c r="BW83" i="3"/>
  <c r="BU66" i="3"/>
  <c r="BW81" i="3" s="1"/>
  <c r="CI69" i="3"/>
  <c r="C83" i="4"/>
  <c r="CF66" i="3"/>
  <c r="C77" i="4" s="1"/>
  <c r="CF69" i="3"/>
  <c r="CF68" i="3"/>
  <c r="C79" i="4" s="1"/>
  <c r="CF67" i="3"/>
  <c r="C78" i="4"/>
  <c r="BZ69" i="3"/>
  <c r="E75" i="4"/>
  <c r="D75" i="4"/>
  <c r="BZ66" i="3"/>
  <c r="C75" i="4"/>
  <c r="E74" i="4"/>
  <c r="BY67" i="3"/>
  <c r="D74" i="4" s="1"/>
  <c r="C74" i="4"/>
  <c r="BW69" i="3"/>
  <c r="E73" i="4"/>
  <c r="BX66" i="3"/>
  <c r="C73" i="4"/>
  <c r="E72" i="4"/>
  <c r="BW67" i="3"/>
  <c r="D72" i="4" s="1"/>
  <c r="BW66" i="3"/>
  <c r="C72" i="4"/>
  <c r="BU69" i="3"/>
  <c r="E70" i="4" s="1"/>
  <c r="BU67" i="3"/>
  <c r="D70" i="4"/>
  <c r="C70" i="4"/>
  <c r="B75" i="4"/>
  <c r="B74" i="4"/>
  <c r="B73" i="4"/>
  <c r="B72" i="4"/>
  <c r="B71" i="4"/>
  <c r="B70" i="4"/>
  <c r="BT70" i="3"/>
  <c r="BT69" i="3"/>
  <c r="D67" i="4" s="1"/>
  <c r="BT67" i="3"/>
  <c r="C68" i="4"/>
  <c r="BT66" i="3"/>
  <c r="C67" i="4" s="1"/>
  <c r="C61" i="4"/>
  <c r="C62" i="4"/>
  <c r="C63" i="4"/>
  <c r="BE67" i="3"/>
  <c r="BE71" i="3"/>
  <c r="H53" i="4"/>
  <c r="G53" i="4"/>
  <c r="BE68" i="3"/>
  <c r="F53" i="4"/>
  <c r="E53" i="4"/>
  <c r="D53" i="4"/>
  <c r="E51" i="4"/>
  <c r="D51" i="4"/>
  <c r="G50" i="4"/>
  <c r="F50" i="4"/>
  <c r="D50" i="4"/>
  <c r="E49" i="4"/>
  <c r="E48" i="4"/>
  <c r="D48" i="4"/>
  <c r="F47" i="4"/>
  <c r="E47" i="4"/>
  <c r="D47" i="4"/>
  <c r="G46" i="4"/>
  <c r="F46" i="4"/>
  <c r="E46" i="4"/>
  <c r="D46" i="4"/>
  <c r="E44" i="4"/>
  <c r="D44" i="4"/>
  <c r="F43" i="4"/>
  <c r="G42" i="4"/>
  <c r="F42" i="4"/>
  <c r="E42" i="4"/>
  <c r="D42" i="4"/>
  <c r="AE68" i="3"/>
  <c r="D28" i="4"/>
  <c r="AA72" i="3"/>
  <c r="F26" i="4"/>
  <c r="AA71" i="3"/>
  <c r="E26" i="4"/>
  <c r="AA70" i="3"/>
  <c r="D26" i="4"/>
  <c r="F25" i="4"/>
  <c r="E25" i="4"/>
  <c r="D25" i="4"/>
  <c r="W3" i="3"/>
  <c r="W66" i="3" s="1"/>
  <c r="C23" i="4" s="1"/>
  <c r="W29" i="3"/>
  <c r="W68" i="3"/>
  <c r="D23" i="4" s="1"/>
  <c r="V3" i="3"/>
  <c r="V21" i="3"/>
  <c r="V29" i="3"/>
  <c r="V48" i="3"/>
  <c r="U3" i="3"/>
  <c r="U21" i="3"/>
  <c r="U29" i="3"/>
  <c r="U44" i="3"/>
  <c r="U45" i="3"/>
  <c r="U48" i="3"/>
  <c r="T3" i="3"/>
  <c r="T16" i="3"/>
  <c r="T21" i="3"/>
  <c r="T29" i="3"/>
  <c r="T30" i="3"/>
  <c r="T48" i="3"/>
  <c r="T49" i="3"/>
  <c r="E73" i="3"/>
  <c r="E72" i="3"/>
  <c r="E71" i="3"/>
  <c r="E70" i="3"/>
  <c r="E74" i="3" s="1"/>
  <c r="CP66" i="3"/>
  <c r="CI71" i="3"/>
  <c r="CI70" i="3"/>
  <c r="CH67" i="3"/>
  <c r="CG69" i="3"/>
  <c r="BV66" i="3"/>
  <c r="BU68" i="3"/>
  <c r="BV68" i="3"/>
  <c r="BW68" i="3"/>
  <c r="BX68" i="3"/>
  <c r="BY68" i="3"/>
  <c r="BZ68" i="3"/>
  <c r="BV69" i="3"/>
  <c r="BX69" i="3"/>
  <c r="BY69" i="3"/>
  <c r="CA69" i="3"/>
  <c r="CB69" i="3"/>
  <c r="CC69" i="3"/>
  <c r="CD69" i="3"/>
  <c r="BT68" i="3"/>
  <c r="BH68" i="3"/>
  <c r="BI68" i="3"/>
  <c r="BJ68" i="3"/>
  <c r="BK68" i="3"/>
  <c r="BL68" i="3"/>
  <c r="BM68" i="3"/>
  <c r="BN68" i="3"/>
  <c r="BO68" i="3"/>
  <c r="BP68" i="3"/>
  <c r="BQ68" i="3"/>
  <c r="BR68" i="3"/>
  <c r="BG68" i="3"/>
  <c r="BH67" i="3"/>
  <c r="BI67" i="3"/>
  <c r="BJ67" i="3"/>
  <c r="BK67" i="3"/>
  <c r="BL67" i="3"/>
  <c r="BM67" i="3"/>
  <c r="BN67" i="3"/>
  <c r="BO67" i="3"/>
  <c r="BP67" i="3"/>
  <c r="BG67" i="3"/>
  <c r="BH66" i="3"/>
  <c r="BI66" i="3"/>
  <c r="BJ66" i="3"/>
  <c r="BK66" i="3"/>
  <c r="BG66" i="3"/>
  <c r="AP68" i="3"/>
  <c r="AQ68" i="3"/>
  <c r="AF68" i="3"/>
  <c r="AG68" i="3"/>
  <c r="AH68" i="3"/>
  <c r="AI68" i="3"/>
  <c r="AJ68" i="3"/>
  <c r="AK68" i="3"/>
  <c r="AL68" i="3"/>
  <c r="AM68" i="3"/>
  <c r="AN68" i="3"/>
  <c r="AO68" i="3"/>
  <c r="AD68" i="3"/>
  <c r="AE67" i="3"/>
  <c r="AF67" i="3"/>
  <c r="AG67" i="3"/>
  <c r="AH67" i="3"/>
  <c r="AI67" i="3"/>
  <c r="AJ67" i="3"/>
  <c r="AK67" i="3"/>
  <c r="AL67" i="3"/>
  <c r="AM67" i="3"/>
  <c r="AN67" i="3"/>
  <c r="AO67" i="3"/>
  <c r="AD67" i="3"/>
  <c r="W67" i="3"/>
  <c r="X68" i="3"/>
  <c r="Y68" i="3"/>
  <c r="AA68" i="3"/>
  <c r="AB68" i="3"/>
  <c r="S68" i="3"/>
  <c r="H68" i="3"/>
  <c r="M68" i="3"/>
  <c r="M67" i="3"/>
  <c r="N68" i="3"/>
  <c r="N67" i="3"/>
  <c r="L68" i="3"/>
  <c r="L67" i="3"/>
  <c r="K68" i="3"/>
  <c r="K67" i="3"/>
  <c r="K30" i="1"/>
  <c r="AW30" i="1"/>
  <c r="AX30" i="1"/>
  <c r="AY30" i="1"/>
  <c r="AZ30" i="1"/>
  <c r="AV30" i="1"/>
  <c r="K4" i="1"/>
  <c r="AY4" i="1"/>
  <c r="K27" i="1"/>
  <c r="AW27" i="1"/>
  <c r="AX27" i="1"/>
  <c r="AY27" i="1"/>
  <c r="AZ27" i="1"/>
  <c r="AV27" i="1"/>
  <c r="K23" i="1"/>
  <c r="AT23" i="1"/>
  <c r="K22" i="1"/>
  <c r="AW22" i="1"/>
  <c r="AX22" i="1"/>
  <c r="AY22" i="1"/>
  <c r="AZ22" i="1"/>
  <c r="AV22" i="1"/>
  <c r="L18" i="1"/>
  <c r="AV18" i="1" s="1"/>
  <c r="AW18" i="1"/>
  <c r="AX18" i="1"/>
  <c r="AY18" i="1"/>
  <c r="AZ18" i="1"/>
  <c r="K18" i="1"/>
  <c r="AU18" i="1"/>
  <c r="AR16" i="1"/>
  <c r="AS16" i="1"/>
  <c r="AT16" i="1"/>
  <c r="AU16" i="1"/>
  <c r="AQ16" i="1"/>
  <c r="K5" i="1"/>
  <c r="AW6" i="1" s="1"/>
  <c r="AX6" i="1"/>
  <c r="AY6" i="1"/>
  <c r="AZ6" i="1"/>
  <c r="AW9" i="1"/>
  <c r="AX9" i="1"/>
  <c r="AY9" i="1"/>
  <c r="AZ9" i="1"/>
  <c r="AV6" i="1"/>
  <c r="AV9" i="1"/>
  <c r="I29" i="1"/>
  <c r="AD29" i="1"/>
  <c r="I30" i="1"/>
  <c r="AA30" i="1"/>
  <c r="AB30" i="1"/>
  <c r="AC30" i="1"/>
  <c r="AD30" i="1"/>
  <c r="AE30" i="1"/>
  <c r="AA31" i="1"/>
  <c r="AB31" i="1"/>
  <c r="AC31" i="1"/>
  <c r="AD31" i="1"/>
  <c r="AE31" i="1"/>
  <c r="Z30" i="1"/>
  <c r="Z31" i="1"/>
  <c r="U28" i="1"/>
  <c r="V28" i="1"/>
  <c r="W28" i="1"/>
  <c r="X28" i="1"/>
  <c r="Y28" i="1"/>
  <c r="T28" i="1"/>
  <c r="AD19" i="1"/>
  <c r="AB13" i="1"/>
  <c r="I5" i="1"/>
  <c r="AD5" i="1"/>
  <c r="AA6" i="1"/>
  <c r="AB6" i="1"/>
  <c r="AC6" i="1"/>
  <c r="AD6" i="1"/>
  <c r="AE6" i="1"/>
  <c r="AA9" i="1"/>
  <c r="AB9" i="1"/>
  <c r="AC9" i="1"/>
  <c r="AD9" i="1"/>
  <c r="AE9" i="1"/>
  <c r="AA13" i="1"/>
  <c r="AC13" i="1"/>
  <c r="AD13" i="1"/>
  <c r="AE13" i="1"/>
  <c r="I14" i="1"/>
  <c r="AD14" i="1"/>
  <c r="AA16" i="1"/>
  <c r="AB16" i="1"/>
  <c r="AC16" i="1"/>
  <c r="AD16" i="1"/>
  <c r="AE16" i="1"/>
  <c r="I18" i="1"/>
  <c r="AB18" i="1" s="1"/>
  <c r="AA18" i="1"/>
  <c r="AD18" i="1"/>
  <c r="AE18" i="1"/>
  <c r="AA19" i="1"/>
  <c r="AB19" i="1"/>
  <c r="AC19" i="1"/>
  <c r="AE19" i="1"/>
  <c r="AA21" i="1"/>
  <c r="AB21" i="1"/>
  <c r="AC21" i="1"/>
  <c r="AD21" i="1"/>
  <c r="AE21" i="1"/>
  <c r="I23" i="1"/>
  <c r="AA23" i="1"/>
  <c r="AB23" i="1"/>
  <c r="AC23" i="1"/>
  <c r="AD23" i="1"/>
  <c r="AE23" i="1"/>
  <c r="I24" i="1"/>
  <c r="I27" i="1"/>
  <c r="AA27" i="1"/>
  <c r="AB27" i="1"/>
  <c r="AC27" i="1"/>
  <c r="AD27" i="1"/>
  <c r="AE27" i="1"/>
  <c r="Z5" i="1"/>
  <c r="Z6" i="1"/>
  <c r="Z9" i="1"/>
  <c r="Z13" i="1"/>
  <c r="Z14" i="1"/>
  <c r="Z16" i="1"/>
  <c r="Z19" i="1"/>
  <c r="Z21" i="1"/>
  <c r="Z23" i="1"/>
  <c r="Z27" i="1"/>
  <c r="J30" i="1"/>
  <c r="L30" i="1"/>
  <c r="J29" i="1"/>
  <c r="K29" i="1"/>
  <c r="L29" i="1"/>
  <c r="F28" i="1"/>
  <c r="G28" i="1"/>
  <c r="H28" i="1"/>
  <c r="E28" i="1"/>
  <c r="J22" i="1"/>
  <c r="L22" i="1"/>
  <c r="J23" i="1"/>
  <c r="L23" i="1"/>
  <c r="J24" i="1"/>
  <c r="K24" i="1"/>
  <c r="L24" i="1"/>
  <c r="J25" i="1"/>
  <c r="K25" i="1"/>
  <c r="L25" i="1"/>
  <c r="J26" i="1"/>
  <c r="K26" i="1"/>
  <c r="L26" i="1"/>
  <c r="J27" i="1"/>
  <c r="L27" i="1"/>
  <c r="I25" i="1"/>
  <c r="I26" i="1"/>
  <c r="I22" i="1"/>
  <c r="J19" i="1"/>
  <c r="J18" i="1"/>
  <c r="D17" i="1"/>
  <c r="J17" i="1" s="1"/>
  <c r="F16" i="1"/>
  <c r="G16" i="1"/>
  <c r="H16" i="1"/>
  <c r="E16" i="1"/>
  <c r="J14" i="1"/>
  <c r="K14" i="1"/>
  <c r="L14" i="1"/>
  <c r="F9" i="1"/>
  <c r="G9" i="1"/>
  <c r="H9" i="1"/>
  <c r="E9" i="1"/>
  <c r="F6" i="1"/>
  <c r="G6" i="1"/>
  <c r="H6" i="1"/>
  <c r="E6" i="1"/>
  <c r="J4" i="1"/>
  <c r="L4" i="1"/>
  <c r="J5" i="1"/>
  <c r="L5" i="1"/>
  <c r="I4" i="1"/>
  <c r="D2" i="1"/>
  <c r="C31" i="4" l="1"/>
  <c r="E31" i="4" s="1"/>
  <c r="C30" i="4"/>
  <c r="E30" i="4" s="1"/>
  <c r="C28" i="4"/>
  <c r="E28" i="4" s="1"/>
  <c r="C29" i="4"/>
  <c r="E29" i="4" s="1"/>
  <c r="AA24" i="1"/>
  <c r="AE24" i="1"/>
  <c r="AB24" i="1"/>
  <c r="Z24" i="1"/>
  <c r="AC24" i="1"/>
  <c r="G45" i="4"/>
  <c r="AY83" i="3"/>
  <c r="G49" i="4"/>
  <c r="AY87" i="3"/>
  <c r="AA29" i="1"/>
  <c r="AE29" i="1"/>
  <c r="Z29" i="1"/>
  <c r="AB29" i="1"/>
  <c r="AC29" i="1"/>
  <c r="T67" i="3"/>
  <c r="T68" i="3"/>
  <c r="D20" i="4" s="1"/>
  <c r="T66" i="3"/>
  <c r="V66" i="3"/>
  <c r="C22" i="4" s="1"/>
  <c r="V67" i="3"/>
  <c r="G44" i="4"/>
  <c r="AY82" i="3"/>
  <c r="AY86" i="3"/>
  <c r="G48" i="4"/>
  <c r="AA14" i="1"/>
  <c r="AE14" i="1"/>
  <c r="AB14" i="1"/>
  <c r="AC14" i="1"/>
  <c r="AA5" i="1"/>
  <c r="AE5" i="1"/>
  <c r="AC5" i="1"/>
  <c r="AB5" i="1"/>
  <c r="V68" i="3"/>
  <c r="D22" i="4" s="1"/>
  <c r="AX83" i="3"/>
  <c r="F45" i="4"/>
  <c r="AX87" i="3"/>
  <c r="F49" i="4"/>
  <c r="Q68" i="3"/>
  <c r="D11" i="4" s="1"/>
  <c r="Q66" i="3"/>
  <c r="C15" i="4" s="1"/>
  <c r="Q67" i="3"/>
  <c r="AD24" i="1"/>
  <c r="AQ23" i="1"/>
  <c r="AU23" i="1"/>
  <c r="AR23" i="1"/>
  <c r="AS23" i="1"/>
  <c r="AV4" i="1"/>
  <c r="AZ4" i="1"/>
  <c r="AW4" i="1"/>
  <c r="AX4" i="1"/>
  <c r="U66" i="3"/>
  <c r="C21" i="4" s="1"/>
  <c r="U68" i="3"/>
  <c r="D21" i="4" s="1"/>
  <c r="U67" i="3"/>
  <c r="G45" i="3"/>
  <c r="C33" i="4"/>
  <c r="E33" i="4" s="1"/>
  <c r="F68" i="3"/>
  <c r="D3" i="4" s="1"/>
  <c r="P68" i="3"/>
  <c r="D10" i="4" s="1"/>
  <c r="F48" i="4"/>
  <c r="BC70" i="3"/>
  <c r="F51" i="4" s="1"/>
  <c r="C60" i="4"/>
  <c r="BA74" i="3"/>
  <c r="AW74" i="3"/>
  <c r="C32" i="4"/>
  <c r="E32" i="4" s="1"/>
  <c r="O29" i="3"/>
  <c r="Z18" i="1"/>
  <c r="AC18" i="1"/>
  <c r="P67" i="3"/>
  <c r="D45" i="4"/>
  <c r="G47" i="4"/>
  <c r="CF71" i="3"/>
  <c r="C80" i="4" s="1"/>
  <c r="BA75" i="3"/>
  <c r="AW75" i="3"/>
  <c r="R29" i="3"/>
  <c r="BC74" i="3"/>
  <c r="AX89" i="3" s="1"/>
  <c r="F66" i="3"/>
  <c r="C3" i="4" s="1"/>
  <c r="G43" i="4"/>
  <c r="F44" i="4"/>
  <c r="D49" i="4"/>
  <c r="D73" i="4"/>
  <c r="AZ75" i="3"/>
  <c r="AV75" i="3"/>
  <c r="O66" i="3" l="1"/>
  <c r="O67" i="3"/>
  <c r="O68" i="3"/>
  <c r="D9" i="4" s="1"/>
  <c r="G29" i="3"/>
  <c r="C65" i="4"/>
  <c r="C55" i="4"/>
  <c r="V90" i="3"/>
  <c r="U90" i="3"/>
  <c r="C20" i="4"/>
  <c r="R66" i="3"/>
  <c r="C16" i="4" s="1"/>
  <c r="R68" i="3"/>
  <c r="R67" i="3"/>
  <c r="C57" i="4" l="1"/>
  <c r="C59" i="4"/>
  <c r="C58" i="4"/>
  <c r="C56" i="4"/>
  <c r="D12" i="4"/>
  <c r="D15" i="4"/>
  <c r="D16" i="4"/>
  <c r="D14" i="4"/>
  <c r="D13" i="4"/>
  <c r="C13" i="4"/>
  <c r="S66" i="3"/>
  <c r="C18" i="4" l="1"/>
  <c r="C10" i="4" l="1"/>
  <c r="E10" i="4" s="1"/>
  <c r="C11" i="4"/>
  <c r="E11" i="4" s="1"/>
  <c r="C12" i="4"/>
  <c r="E12" i="4" s="1"/>
  <c r="C9" i="4"/>
  <c r="E9"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zack shiner</author>
  </authors>
  <commentList>
    <comment ref="F5" authorId="0" shapeId="0" xr:uid="{00000000-0006-0000-0100-000001000000}">
      <text>
        <r>
          <rPr>
            <b/>
            <sz val="9"/>
            <color indexed="81"/>
            <rFont val="Tahoma"/>
            <family val="2"/>
          </rPr>
          <t>zack shiner:</t>
        </r>
        <r>
          <rPr>
            <sz val="9"/>
            <color indexed="81"/>
            <rFont val="Tahoma"/>
            <family val="2"/>
          </rPr>
          <t xml:space="preserve">
converted using 416.53</t>
        </r>
      </text>
    </comment>
    <comment ref="F27" authorId="0" shapeId="0" xr:uid="{00000000-0006-0000-0100-000002000000}">
      <text>
        <r>
          <rPr>
            <b/>
            <sz val="9"/>
            <color indexed="81"/>
            <rFont val="Tahoma"/>
            <family val="2"/>
          </rPr>
          <t>zack shiner:</t>
        </r>
        <r>
          <rPr>
            <sz val="9"/>
            <color indexed="81"/>
            <rFont val="Tahoma"/>
            <family val="2"/>
          </rPr>
          <t xml:space="preserve">
converted using 416.53</t>
        </r>
      </text>
    </comment>
    <comment ref="F43" authorId="0" shapeId="0" xr:uid="{00000000-0006-0000-0100-000003000000}">
      <text>
        <r>
          <rPr>
            <b/>
            <sz val="9"/>
            <color indexed="81"/>
            <rFont val="Tahoma"/>
            <family val="2"/>
          </rPr>
          <t>zack shiner:</t>
        </r>
        <r>
          <rPr>
            <sz val="9"/>
            <color indexed="81"/>
            <rFont val="Tahoma"/>
            <family val="2"/>
          </rPr>
          <t xml:space="preserve">
converted from cubic yard</t>
        </r>
      </text>
    </comment>
    <comment ref="F44" authorId="0" shapeId="0" xr:uid="{00000000-0006-0000-0100-000004000000}">
      <text>
        <r>
          <rPr>
            <b/>
            <sz val="9"/>
            <color indexed="81"/>
            <rFont val="Tahoma"/>
            <family val="2"/>
          </rPr>
          <t>zack shiner:</t>
        </r>
        <r>
          <rPr>
            <sz val="9"/>
            <color indexed="81"/>
            <rFont val="Tahoma"/>
            <family val="2"/>
          </rPr>
          <t xml:space="preserve">
cnvrt from cubic yard</t>
        </r>
      </text>
    </comment>
    <comment ref="F45" authorId="0" shapeId="0" xr:uid="{00000000-0006-0000-0100-000005000000}">
      <text>
        <r>
          <rPr>
            <b/>
            <sz val="9"/>
            <color indexed="81"/>
            <rFont val="Tahoma"/>
            <family val="2"/>
          </rPr>
          <t>zack shiner:</t>
        </r>
        <r>
          <rPr>
            <sz val="9"/>
            <color indexed="81"/>
            <rFont val="Tahoma"/>
            <family val="2"/>
          </rPr>
          <t xml:space="preserve">
converted from cubic yard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zack shiner</author>
  </authors>
  <commentList>
    <comment ref="E4" authorId="0" shapeId="0" xr:uid="{00000000-0006-0000-0500-000001000000}">
      <text>
        <r>
          <rPr>
            <b/>
            <sz val="9"/>
            <color indexed="81"/>
            <rFont val="Tahoma"/>
            <family val="2"/>
          </rPr>
          <t>zack shiner:</t>
        </r>
        <r>
          <rPr>
            <sz val="9"/>
            <color indexed="81"/>
            <rFont val="Tahoma"/>
            <family val="2"/>
          </rPr>
          <t xml:space="preserve">
converted using 416.53</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zack shiner</author>
  </authors>
  <commentList>
    <comment ref="D2" authorId="0" shapeId="0" xr:uid="{00000000-0006-0000-0600-000001000000}">
      <text>
        <r>
          <rPr>
            <b/>
            <sz val="9"/>
            <color indexed="81"/>
            <rFont val="Tahoma"/>
            <family val="2"/>
          </rPr>
          <t>zack shiner:</t>
        </r>
        <r>
          <rPr>
            <sz val="9"/>
            <color indexed="81"/>
            <rFont val="Tahoma"/>
            <family val="2"/>
          </rPr>
          <t xml:space="preserve">
multiplied by 365
</t>
        </r>
      </text>
    </comment>
  </commentList>
</comments>
</file>

<file path=xl/sharedStrings.xml><?xml version="1.0" encoding="utf-8"?>
<sst xmlns="http://schemas.openxmlformats.org/spreadsheetml/2006/main" count="3901" uniqueCount="429">
  <si>
    <t>Q1/19: Please enter the identifying code found on your survey. - Unique ID</t>
  </si>
  <si>
    <t>Q2/19: This survey is intended for facilities that receive construction and demolition waste. Do you accept construction and demolition waste at your facility?</t>
  </si>
  <si>
    <t>Q3/19: In which state is your facility located?</t>
  </si>
  <si>
    <t>Q4/19: In 2016, approximately how much total waste (all types) was received at the construction and demolition facility you operate? - Total Waste Received (tons)</t>
  </si>
  <si>
    <t>Q5/19: In 2016, what was the breakdown of the total waste received that was landfilled compared to waste that was recovered for any other uses (recycling, daily cover, incineration, compost, etc)?  Please estimate the percentage or tonnage that passed through the scalehouse for the following categories. - Landfilled - wood and brush - Percentage</t>
  </si>
  <si>
    <t>Q5/19: In 2016, what was the breakdown of the total waste received that was landfilled compared to waste that was recovered for any other uses (recycling, daily cover, incineration, compost, etc)?  Please estimate the percentage or tonnage that passed through the scalehouse for the following categories. - Landfilled - normal waste - Percentage</t>
  </si>
  <si>
    <t>Q5/19: In 2016, what was the breakdown of the total waste received that was landfilled compared to waste that was recovered for any other uses (recycling, daily cover, incineration, compost, etc)?  Please estimate the percentage or tonnage that passed through the scalehouse for the following categories. - Recovered - wood and brush - Percentage</t>
  </si>
  <si>
    <t>Q5/19: In 2016, what was the breakdown of the total waste received that was landfilled compared to waste that was recovered for any other uses (recycling, daily cover, incineration, compost, etc)?  Please estimate the percentage or tonnage that passed through the scalehouse for the following categories. - Recovered - normal waste - Percentage</t>
  </si>
  <si>
    <t>Or provide the tonnage instead: - Landfilled - wood and brush - Tonnage</t>
  </si>
  <si>
    <t>Or provide the tonnage instead: - Landfilled - normal waste - Tonnage</t>
  </si>
  <si>
    <t>Or provide the tonnage instead: - Recovered - wood and brush - Tonnage</t>
  </si>
  <si>
    <t>Or provide the tonnage instead: - Recovered - normal waste - Tonnage</t>
  </si>
  <si>
    <t>Q6/19: In 2016, what were the average tipping fees for the following materials?  (Leave categories blank if you do not have a tipping fee for that specific type of waste or provide the fee you would charge if that type of waste arrived at your facility.) - Unsorted waste - Tipping fee</t>
  </si>
  <si>
    <t>Q6/19: In 2016, what were the average tipping fees for the following materials?  (Leave categories blank if you do not have a tipping fee for that specific type of waste or provide the fee you would charge if that type of waste arrived at your facility.) - Presorted waste - Tipping fee</t>
  </si>
  <si>
    <t>Q6/19: In 2016, what were the average tipping fees for the following materials?  (Leave categories blank if you do not have a tipping fee for that specific type of waste or provide the fee you would charge if that type of waste arrived at your facility.) - Sorted wood and brush - Tipping fee</t>
  </si>
  <si>
    <t>Q6/19: In 2016, what were the average tipping fees for the following materials?  (Leave categories blank if you do not have a tipping fee for that specific type of waste or provide the fee you would charge if that type of waste arrived at your facility.) - Recovered pallets - Tipping fee</t>
  </si>
  <si>
    <t>Q7/19: In 2016, did your facility accept wood and wood products of any kind for landfilling?</t>
  </si>
  <si>
    <t>Q8/19: Do you accept wood pallets at your Construction and Demolition facility for landfilling as they are received?  (i.e. without additional processing such as grinding, chipping, incineration, or repair)</t>
  </si>
  <si>
    <t>Please explain why you do not accept pallets for landfilling as they are received:</t>
  </si>
  <si>
    <t>Q9/19: In 2016, please estimate the amount of wood waste landfilled for the following categories? (Please answer in either tons or percentage of total wood landfilled.) - Yard and Land Clearing Wood Debris - Percentage</t>
  </si>
  <si>
    <t>Q9/19: In 2016, please estimate the amount of wood waste landfilled for the following categories? (Please answer in either tons or percentage of total wood landfilled.) - Residential Construction and Demolition Wood - Percentage</t>
  </si>
  <si>
    <t>Q9/19: In 2016, please estimate the amount of wood waste landfilled for the following categories? (Please answer in either tons or percentage of total wood landfilled.) - Industrial Construction and Demolition Wood - Percentage</t>
  </si>
  <si>
    <t>Q9/19: In 2016, please estimate the amount of wood waste landfilled for the following categories? (Please answer in either tons or percentage of total wood landfilled.) - Treated Wood - Percentage</t>
  </si>
  <si>
    <t>Q9/19: In 2016, please estimate the amount of wood waste landfilled for the following categories? (Please answer in either tons or percentage of total wood landfilled.) - Wood Pallets and Crates - Percentage</t>
  </si>
  <si>
    <t>Q9/19: In 2016, please estimate the amount of wood waste landfilled for the following categories? (Please answer in either tons or percentage of total wood landfilled.) - Other - Percentage</t>
  </si>
  <si>
    <t>If you cannot provide the breakdown by percentage, please include the tonnage instead. - Yard and Land Clearing Wood Debris - Tonnage</t>
  </si>
  <si>
    <t>If you cannot provide the breakdown by percentage, please include the tonnage instead. - Residential Construction and Demolition Wood - Tonnage</t>
  </si>
  <si>
    <t>If you cannot provide the breakdown by percentage, please include the tonnage instead. - Industrial Construction and Demolition Wood - Tonnage</t>
  </si>
  <si>
    <t>If you cannot provide the breakdown by percentage, please include the tonnage instead. - Treated Wood - Tonnage</t>
  </si>
  <si>
    <t>If you cannot provide the breakdown by percentage, please include the tonnage instead. - Wood Pallets and Crates - Tonnage</t>
  </si>
  <si>
    <t>If you cannot provide the breakdown by percentage, please include the tonnage instead. - Other - Tonnage</t>
  </si>
  <si>
    <t>Q10/19: Please select from the list of materials below that your facility is able to recover or is planning on being able to recover in the next two years: - Asphalt</t>
  </si>
  <si>
    <t>Q10/19: Please select from the list of materials below that your facility is able to recover or is planning on being able to recover in the next two years: - Brick</t>
  </si>
  <si>
    <t>Q10/19: Please select from the list of materials below that your facility is able to recover or is planning on being able to recover in the next two years: - Concrete</t>
  </si>
  <si>
    <t>Q10/19: Please select from the list of materials below that your facility is able to recover or is planning on being able to recover in the next two years: - Gypsum Wallboard</t>
  </si>
  <si>
    <t>Q10/19: Please select from the list of materials below that your facility is able to recover or is planning on being able to recover in the next two years: - Metals</t>
  </si>
  <si>
    <t>Q10/19: Please select from the list of materials below that your facility is able to recover or is planning on being able to recover in the next two years: - Plastics</t>
  </si>
  <si>
    <t>Q10/19: Please select from the list of materials below that your facility is able to recover or is planning on being able to recover in the next two years: - Roofing Materials</t>
  </si>
  <si>
    <t>Q10/19: Please select from the list of materials below that your facility is able to recover or is planning on being able to recover in the next two years: - Treated Wood</t>
  </si>
  <si>
    <t>Q10/19: Please select from the list of materials below that your facility is able to recover or is planning on being able to recover in the next two years: - Wood (other than pallets)</t>
  </si>
  <si>
    <t>Q10/19: Please select from the list of materials below that your facility is able to recover or is planning on being able to recover in the next two years: - Wood Pallets</t>
  </si>
  <si>
    <t>Q11/19: Does your facility have the ability to recycle or repurpose wood and/or wood pallets? In other words, does your organization divert wood waste into a separate area for recovery?</t>
  </si>
  <si>
    <t>Q12/19: In 2016, approximately what was the breakdown of materials for wood received at your recovery area?  (Please answer either percentage or tons of total wood waste processed.) - Yard and Land Clearing Wood Debris - Percentage</t>
  </si>
  <si>
    <t>Q12/19: In 2016, approximately what was the breakdown of materials for wood received at your recovery area?  (Please answer either percentage or tons of total wood waste processed.) - Residential Construction and Demolition Wood - Percentage</t>
  </si>
  <si>
    <t>Q12/19: In 2016, approximately what was the breakdown of materials for wood received at your recovery area?  (Please answer either percentage or tons of total wood waste processed.) - Industrial Construction and Demolition Wood - Percentage</t>
  </si>
  <si>
    <t>Q12/19: In 2016, approximately what was the breakdown of materials for wood received at your recovery area?  (Please answer either percentage or tons of total wood waste processed.) - Wood Pallets and Crates - Percentage</t>
  </si>
  <si>
    <t>Q12/19: In 2016, approximately what was the breakdown of materials for wood received at your recovery area?  (Please answer either percentage or tons of total wood waste processed.) - Other - Percentage</t>
  </si>
  <si>
    <t>Or provide the tonnage instead: - Yard and Land Clearing Wood Debris - Tonnage</t>
  </si>
  <si>
    <t>Or provide the tonnage instead: - Residential Construction and Demolition Wood - Tonnage</t>
  </si>
  <si>
    <t>Or provide the tonnage instead: - Industrial Construction and Demolition Wood - Tonnage</t>
  </si>
  <si>
    <t>Or provide the tonnage instead: - Wood Pallets and Crates - Tonnage</t>
  </si>
  <si>
    <t>Or provide the tonnage instead: - Other - Tonnage</t>
  </si>
  <si>
    <t>Q13/19: In 2016, how much of the wood waste received at your recovery area was used for alternative daily cover or facility operation? - Tons</t>
  </si>
  <si>
    <t>Q14/19: In 2016, what was the average selling price and amount of ground/chipped wood sold from your recovery area?  (Please indicate dollars per ton and the number of tons sold for each category) - Ground and sold for commercial use - $/ton</t>
  </si>
  <si>
    <t>Q14/19: In 2016, what was the average selling price and amount of ground/chipped wood sold from your recovery area?  (Please indicate dollars per ton and the number of tons sold for each category) - Ground and sold for commercial use - Tonnage</t>
  </si>
  <si>
    <t>Q14/19: In 2016, what was the average selling price and amount of ground/chipped wood sold from your recovery area?  (Please indicate dollars per ton and the number of tons sold for each category) - Ground and sold for residential use - $/ton</t>
  </si>
  <si>
    <t>Q14/19: In 2016, what was the average selling price and amount of ground/chipped wood sold from your recovery area?  (Please indicate dollars per ton and the number of tons sold for each category) - Ground and sold for residential use - Tonnage</t>
  </si>
  <si>
    <t>Q14/19: In 2016, what was the average selling price and amount of ground/chipped wood sold from your recovery area?  (Please indicate dollars per ton and the number of tons sold for each category) - Sold for other uses - $/ton</t>
  </si>
  <si>
    <t>Q14/19: In 2016, what was the average selling price and amount of ground/chipped wood sold from your recovery area?  (Please indicate dollars per ton and the number of tons sold for each category) - Sold for other uses - Tonnage</t>
  </si>
  <si>
    <t>We did not sell this type of material in 2016.</t>
  </si>
  <si>
    <t>Please explain other uses wood diverted to your recovery area was sold for:</t>
  </si>
  <si>
    <t>Q15/19: Do you separate pallets from other types of wood waste diverted to your recovery area? (Please check all that apply.)</t>
  </si>
  <si>
    <t>Please describe the other uses for separated pallets:</t>
  </si>
  <si>
    <t>Q16/19: Has your wood and yard waste recovery area been in operation for two or more years?</t>
  </si>
  <si>
    <t>Q17/19: How has the volume of wood pallets recovered at your wood and yard waste recovery area changed over the past two years? (Please click and drag the slide bar to indicate the change in percentage) - Change in volume of recovered wood pallets</t>
  </si>
  <si>
    <t>Q18/19: In 2016, what was your average selling price for pallets and how many did you sell?  (Please leave sections blank if you did not indicate that you do so in the question above.) - Repaired pallets - $/pallet</t>
  </si>
  <si>
    <t>Q18/19: In 2016, what was your average selling price for pallets and how many did you sell?  (Please leave sections blank if you did not indicate that you do so in the question above.) - Repaired pallets - # of pallets</t>
  </si>
  <si>
    <t>Q18/19: In 2016, what was your average selling price for pallets and how many did you sell?  (Please leave sections blank if you did not indicate that you do so in the question above.) - Unrepaired pallets sold to recycler - $/pallet</t>
  </si>
  <si>
    <t>Q18/19: In 2016, what was your average selling price for pallets and how many did you sell?  (Please leave sections blank if you did not indicate that you do so in the question above.) - Unrepaired pallets sold to recycler - # of pallets</t>
  </si>
  <si>
    <t>Q18/19: In 2016, what was your average selling price for pallets and how many did you sell?  (Please leave sections blank if you did not indicate that you do so in the question above.) - Other uses - $/pallet</t>
  </si>
  <si>
    <t>Q18/19: In 2016, what was your average selling price for pallets and how many did you sell?  (Please leave sections blank if you did not indicate that you do so in the question above.) - Other uses - # of pallets</t>
  </si>
  <si>
    <t>Q19/19: In your opinion, what is the biggest barrier to increased rates of recovery of pallets and similar wood packaging?</t>
  </si>
  <si>
    <t>If you would like to receive a summary report of this study, please write your name and email address below: - Name</t>
  </si>
  <si>
    <t>If you would like to receive a summary report of this study, please write your name and email address below: - Email</t>
  </si>
  <si>
    <t>No</t>
  </si>
  <si>
    <t>Yes</t>
  </si>
  <si>
    <t>Minnesota</t>
  </si>
  <si>
    <t>No...and we do not plan to within the next two years</t>
  </si>
  <si>
    <t>We are a small facility with very limited staff.  We also collect such small volumes of waste that we would not be recovering enough material to make it worth our time.</t>
  </si>
  <si>
    <t>Maine</t>
  </si>
  <si>
    <t>cost, labor</t>
  </si>
  <si>
    <t>Nebraska</t>
  </si>
  <si>
    <t>DEQ regulations</t>
  </si>
  <si>
    <t>Yes...for other uses</t>
  </si>
  <si>
    <t>grind for mulch</t>
  </si>
  <si>
    <t>their is none.</t>
  </si>
  <si>
    <t>Alabama</t>
  </si>
  <si>
    <t>unknown</t>
  </si>
  <si>
    <t>We did not sell this type of material in 2016</t>
  </si>
  <si>
    <t>Cost</t>
  </si>
  <si>
    <t>Louisiana</t>
  </si>
  <si>
    <t>Manpower, Space</t>
  </si>
  <si>
    <t>Not cost effective like most recycled materials</t>
  </si>
  <si>
    <t>Bill Reaves</t>
  </si>
  <si>
    <t>bill.reaves@gmail.com</t>
  </si>
  <si>
    <t>Colorado</t>
  </si>
  <si>
    <t>Ben Frei</t>
  </si>
  <si>
    <t>bfrei@albertfreiandsons.com</t>
  </si>
  <si>
    <t>Montana</t>
  </si>
  <si>
    <t>Financing and low return on investment</t>
  </si>
  <si>
    <t>Mark Nelson</t>
  </si>
  <si>
    <t>mnelson@lakemt.gov</t>
  </si>
  <si>
    <t>Arkansas</t>
  </si>
  <si>
    <t>We recycle them, run them through the chipper and sale them to papermills</t>
  </si>
  <si>
    <t>Broiler fuel</t>
  </si>
  <si>
    <t>cost</t>
  </si>
  <si>
    <t>Florida</t>
  </si>
  <si>
    <t>treated wood not accepted</t>
  </si>
  <si>
    <t>determining whether it's treated</t>
  </si>
  <si>
    <t>Washington</t>
  </si>
  <si>
    <t>na</t>
  </si>
  <si>
    <t>cost to process and transport</t>
  </si>
  <si>
    <t>Ken Locke</t>
  </si>
  <si>
    <t>klocke@brewermaine.gov</t>
  </si>
  <si>
    <t>ppieper@co.rice.mn.us</t>
  </si>
  <si>
    <t xml:space="preserve">Having contractors separate out materials and the cost of separating out materials (equipment, staff, etc...). </t>
  </si>
  <si>
    <t>Paul Pieper</t>
  </si>
  <si>
    <t>NA</t>
  </si>
  <si>
    <t>doug.morris@crowwing.us</t>
  </si>
  <si>
    <t>We do not charge by the ton for our C&amp;D.  This is managed by the cu yd.  Fee is $6 cu yd.  In Minn, treated wood is banned from going into a demo as with brush.   Only wood going into our C&amp;D is mostly from demo of old buildings.  Minor amount of pallets.  Worth $$$, only ones we get are damage, off size or people who get a pallet and don't want to deal with it.  As far as dealing with wood from a demo site, to much issues on using wood that has paint or other contaminates on it.</t>
  </si>
  <si>
    <t>North Carolina</t>
  </si>
  <si>
    <t>South Carolina</t>
  </si>
  <si>
    <t>we grind them into a type of mulch not sold with our regular mulch</t>
  </si>
  <si>
    <t>Maureen Whitman</t>
  </si>
  <si>
    <t>mwhitman@oconeesc.com</t>
  </si>
  <si>
    <t>Georgia</t>
  </si>
  <si>
    <t>me@pleasants.org</t>
  </si>
  <si>
    <t>Maryland</t>
  </si>
  <si>
    <t>Contamination</t>
  </si>
  <si>
    <t>Mike Ensor</t>
  </si>
  <si>
    <t>Pallets are ground for mulch, or other reuse</t>
  </si>
  <si>
    <t>Virginia</t>
  </si>
  <si>
    <t>btwilliams@wildblue.net</t>
  </si>
  <si>
    <t>New Jersey</t>
  </si>
  <si>
    <t>the cost to make new pallets or refurbish existing pallets is so cheap that many companies can not be bothered to store the pallets at their warehouse until they have a truck full.  Consequently they throw them away.</t>
  </si>
  <si>
    <t>Utah</t>
  </si>
  <si>
    <t>rodger.np@gmail.com</t>
  </si>
  <si>
    <t>Cost of recovery</t>
  </si>
  <si>
    <t>rodger</t>
  </si>
  <si>
    <t>10/cubic yard</t>
  </si>
  <si>
    <t>10/ cubic yard</t>
  </si>
  <si>
    <t>YES</t>
  </si>
  <si>
    <t>No…but we plan to within the next two years</t>
  </si>
  <si>
    <t>Manpower to recover and sort these items.</t>
  </si>
  <si>
    <t xml:space="preserve">Yellow denotes that the 0's appeared to be meaningless. </t>
  </si>
  <si>
    <t>*</t>
  </si>
  <si>
    <t>TWO</t>
  </si>
  <si>
    <t>NOW</t>
  </si>
  <si>
    <t>illlogical 0</t>
  </si>
  <si>
    <t>Added by me</t>
  </si>
  <si>
    <t>serial</t>
  </si>
  <si>
    <t>TWO YEARS</t>
  </si>
  <si>
    <t>NO</t>
  </si>
  <si>
    <t>market value</t>
  </si>
  <si>
    <t>Don't know</t>
  </si>
  <si>
    <t>Brenda Dixon</t>
  </si>
  <si>
    <t>Columbia County Landfill #1 Court Square Magnolia, AR 71753</t>
  </si>
  <si>
    <t>California</t>
  </si>
  <si>
    <t>WE ONLY ACCECPT CONCRETE FOR INFILLING A LAKE ON THE PROPERTY</t>
  </si>
  <si>
    <t>Do not generate this type of waste</t>
  </si>
  <si>
    <t>Michael Brady</t>
  </si>
  <si>
    <t>mbrady@csu.org</t>
  </si>
  <si>
    <t>Delaware</t>
  </si>
  <si>
    <t>Market for products at cost competitive with disposal costs.</t>
  </si>
  <si>
    <t>James Vesconi</t>
  </si>
  <si>
    <t>JV@DSWA.com</t>
  </si>
  <si>
    <t>No market for pallets in this area. Good pallets with visible deposit return value are discarded</t>
  </si>
  <si>
    <t>BFM1958@gmail.com</t>
  </si>
  <si>
    <t>The biggest barrier is cost of recovery operations and manpower, and industry for use of materials after recovery in my area</t>
  </si>
  <si>
    <t>Ralph Hankerson</t>
  </si>
  <si>
    <t>rhankerson@burkecounty-ga.gov</t>
  </si>
  <si>
    <t>No Market demand, handling and transportation to end user is cost prohibitive</t>
  </si>
  <si>
    <t xml:space="preserve">YES </t>
  </si>
  <si>
    <t>No market</t>
  </si>
  <si>
    <t>Richard Bronson</t>
  </si>
  <si>
    <t>townmanager@baileyville.org</t>
  </si>
  <si>
    <t>This a county run landfill and is unlined so we are limited to what is acceptable to be buied by the MPCA and state.  The county looked at getting a chipper for pallets, etc. but they said the cost to operate was too high and no market for the chipped waste.</t>
  </si>
  <si>
    <t>Glen Steberg</t>
  </si>
  <si>
    <t>44284 135th Ave. Zumbrota, MN 55992</t>
  </si>
  <si>
    <t>Mississippi</t>
  </si>
  <si>
    <t>We receive very few pallets</t>
  </si>
  <si>
    <t>Macon Holliman</t>
  </si>
  <si>
    <t>PO BOX 1137 Prentiss, MS 39474</t>
  </si>
  <si>
    <t xml:space="preserve">This is a Class II Rubbish Site for our county, the way I understand is that there can be no metal in the material, which pallets contain.  I may be wrong about that but we just don't.  We only accept leaves, limbs, stumps, sticks, grass etc.   This is a free landfill for residents of Adams County and also where our county road department disposes of material that it picks up.  </t>
  </si>
  <si>
    <t>Joe Murray</t>
  </si>
  <si>
    <t>jmurray@adamscountyms.gov</t>
  </si>
  <si>
    <t>we prefer them to go to our recycling center</t>
  </si>
  <si>
    <t>Need</t>
  </si>
  <si>
    <t>Michael Holton</t>
  </si>
  <si>
    <t>michaelh@plvtelco.net</t>
  </si>
  <si>
    <t>Pull good pallets for use under gaylord boxes/ MRF</t>
  </si>
  <si>
    <t>Revenue to cover the cost to recover</t>
  </si>
  <si>
    <t>They are banned from the waste stream</t>
  </si>
  <si>
    <t>Staffing and accomodations</t>
  </si>
  <si>
    <t>Steven Skoog</t>
  </si>
  <si>
    <t>slskoog@co.becker.mn.us</t>
  </si>
  <si>
    <t>Sorting and end market</t>
  </si>
  <si>
    <t xml:space="preserve">We do not have the menas to efficiently separate wood waste, including pallets, from bulk construction and demolition debris.  IF we did have the ability to separate then we could recover and repurpose as we do have access to a grinder and markets for the material.  </t>
  </si>
  <si>
    <t>Don Hecht</t>
  </si>
  <si>
    <t>dan.hecht@co.clearwater.mn.us</t>
  </si>
  <si>
    <t>YEs</t>
  </si>
  <si>
    <t>It has become a wasteful world, no one wants to separate things out</t>
  </si>
  <si>
    <t>Donna Stresemann</t>
  </si>
  <si>
    <t>donna.stresemann@co.cottonwood.mn.us</t>
  </si>
  <si>
    <t>We give waste to private grinder who grinds on-site then transport for boiler fuel.</t>
  </si>
  <si>
    <t>Not put in a separate container at the site of demolition or construction.</t>
  </si>
  <si>
    <t>servicable pallets are reused</t>
  </si>
  <si>
    <t>None sold/ reusable items given away</t>
  </si>
  <si>
    <t>Good pallets are reused by us or residents</t>
  </si>
  <si>
    <t>Poorly constructed pallets not worth repairing</t>
  </si>
  <si>
    <t>wayne.fuller@co.koochiching.mn.us</t>
  </si>
  <si>
    <t>Contacting facilities and getting them tot keep pallets out of demo material.</t>
  </si>
  <si>
    <t>Labor costs, market need</t>
  </si>
  <si>
    <t>Jeff Palasan</t>
  </si>
  <si>
    <t>1089 Marie Tunica MS 38676</t>
  </si>
  <si>
    <t xml:space="preserve">No recycling market and the costs associated with shipping the material out of state.  </t>
  </si>
  <si>
    <t xml:space="preserve">Jacki Pierson </t>
  </si>
  <si>
    <t>jpierson@helenamt.gov</t>
  </si>
  <si>
    <t>Wisconsin</t>
  </si>
  <si>
    <t>Facility Compliance</t>
  </si>
  <si>
    <t>Interal Use only</t>
  </si>
  <si>
    <t>Market tipping fee at landfill is too low for increased participation.</t>
  </si>
  <si>
    <t>Zach Poucher</t>
  </si>
  <si>
    <t>zpoucher@gmail.com</t>
  </si>
  <si>
    <t>We grind all wood materials for boiler fuel or colored mulch</t>
  </si>
  <si>
    <t>compost $/20, mulch $20/ton</t>
  </si>
  <si>
    <t xml:space="preserve">labot, time, productivity </t>
  </si>
  <si>
    <t>No charge</t>
  </si>
  <si>
    <t>Greenwood county operates two landfills all yard waste/ debris unlined landfill: 9600 tons, all other including CD 1,422</t>
  </si>
  <si>
    <t>The ability to separate onsite to loading into a rolloff container; there is no incentive to contractors, it's time consuming and costly.</t>
  </si>
  <si>
    <t>Region</t>
  </si>
  <si>
    <t>Q4</t>
  </si>
  <si>
    <t>Total Waste Received (tons)</t>
  </si>
  <si>
    <t>Q5</t>
  </si>
  <si>
    <t>Landfilled - wood and brush - Percentage</t>
  </si>
  <si>
    <t>Landfilled - normal waste - Percentage</t>
  </si>
  <si>
    <t xml:space="preserve"> Recovered - wood and brush - Percentage</t>
  </si>
  <si>
    <t xml:space="preserve"> Recovered - normal waste - Percentage</t>
  </si>
  <si>
    <t>Landfilled - wood and brush - Tonnage</t>
  </si>
  <si>
    <t>Landfilled - normal waste - Tonnage</t>
  </si>
  <si>
    <t xml:space="preserve"> Recovered - wood and brush - Tonnage</t>
  </si>
  <si>
    <t>Recovered - normal waste - Tonnage</t>
  </si>
  <si>
    <t>Q6</t>
  </si>
  <si>
    <t>Unsorted waste - Tipping fee</t>
  </si>
  <si>
    <t>Presorted waste - Tipping fee</t>
  </si>
  <si>
    <t xml:space="preserve"> Sorted wood and brush - Tipping fee</t>
  </si>
  <si>
    <t>Recovered pallets - Tipping fee</t>
  </si>
  <si>
    <t>accept wood and wood products of any kind for landfilling?</t>
  </si>
  <si>
    <t>Q7</t>
  </si>
  <si>
    <t>Q8</t>
  </si>
  <si>
    <t>Do you accept wood pallets for landfilling as they are received?</t>
  </si>
  <si>
    <t>Yard and Land Clearing Wood Debris - Percentage</t>
  </si>
  <si>
    <t xml:space="preserve"> Residential Construction and Demolition Wood - Percentage</t>
  </si>
  <si>
    <t xml:space="preserve"> Industrial Construction and Demolition Wood - Percentage</t>
  </si>
  <si>
    <t>Treated Wood - Percentage</t>
  </si>
  <si>
    <t>Wood Pallets and Crates - Percentage</t>
  </si>
  <si>
    <t>Other - Percentage</t>
  </si>
  <si>
    <t>Yard and Land Clearing Wood Debris - Tonnage</t>
  </si>
  <si>
    <t>Residential Construction and Demolition Wood - Tonnage</t>
  </si>
  <si>
    <t>Industrial Construction and Demolition Wood - Tonnage</t>
  </si>
  <si>
    <t>Treated Wood - Tonnage</t>
  </si>
  <si>
    <t>Wood Pallets and Crates - Tonnage</t>
  </si>
  <si>
    <t>Other - Tonnage</t>
  </si>
  <si>
    <t>Asphalt</t>
  </si>
  <si>
    <t>Brick</t>
  </si>
  <si>
    <t>Concrete</t>
  </si>
  <si>
    <t>Gypsum Wallboard</t>
  </si>
  <si>
    <t>Metals</t>
  </si>
  <si>
    <t>Plastics</t>
  </si>
  <si>
    <t>Roofing Materials</t>
  </si>
  <si>
    <t>Treated Wood</t>
  </si>
  <si>
    <t>Wood (other than pallets)</t>
  </si>
  <si>
    <t xml:space="preserve"> Wood Pallets</t>
  </si>
  <si>
    <t xml:space="preserve"> Does your facility have the ability to recycle or repurpose wood and/or wood pallets? In other words, does your organization divert wood waste into a separate area for recovery?</t>
  </si>
  <si>
    <t xml:space="preserve"> Yard and Land Clearing Wood Debris - Percentage</t>
  </si>
  <si>
    <t>Q12:  wood recovered breakdown</t>
  </si>
  <si>
    <t>Q9 wood landfilled breakdown</t>
  </si>
  <si>
    <t>Q10: recovery capabilities</t>
  </si>
  <si>
    <t>Q11: repurpose wood pallets?</t>
  </si>
  <si>
    <t xml:space="preserve"> Wood Pallets and Crates - Percentage</t>
  </si>
  <si>
    <t>ADC - Tons</t>
  </si>
  <si>
    <t>Q14 chipped wood sales</t>
  </si>
  <si>
    <t>Ground and sold for commercial use - $/ton</t>
  </si>
  <si>
    <t>Ground and sold for commercial use - Tonnage</t>
  </si>
  <si>
    <t>Ground and sold for residential use - $/ton</t>
  </si>
  <si>
    <t xml:space="preserve"> Ground and sold for residential use - Tonnage</t>
  </si>
  <si>
    <t>Sold for other uses - $/ton</t>
  </si>
  <si>
    <t>Sold for other uses - Tonnage</t>
  </si>
  <si>
    <t>Q15 separate wood pallets</t>
  </si>
  <si>
    <t>Q16/17 two year recovery</t>
  </si>
  <si>
    <t>Q18 selling price for pallets</t>
  </si>
  <si>
    <t>Q5 Status</t>
  </si>
  <si>
    <t>No Response</t>
  </si>
  <si>
    <t>Good</t>
  </si>
  <si>
    <t>Converted from cubic yars</t>
  </si>
  <si>
    <t>Q6 Response</t>
  </si>
  <si>
    <t>Q6 Converted from cubic yards</t>
  </si>
  <si>
    <t>ZEROS</t>
  </si>
  <si>
    <t>Q9 Response</t>
  </si>
  <si>
    <t>Converted of question sum total</t>
  </si>
  <si>
    <t>Q12 Response Status</t>
  </si>
  <si>
    <t>Q12 Converted?</t>
  </si>
  <si>
    <t>Q14 Status</t>
  </si>
  <si>
    <t>indicated they don't sell</t>
  </si>
  <si>
    <t>OTHER</t>
  </si>
  <si>
    <t>Yes for other uses</t>
  </si>
  <si>
    <t>Yes for repair</t>
  </si>
  <si>
    <t>Average</t>
  </si>
  <si>
    <t>Median</t>
  </si>
  <si>
    <t>Count</t>
  </si>
  <si>
    <t>% YES</t>
  </si>
  <si>
    <t>Total</t>
  </si>
  <si>
    <t>`</t>
  </si>
  <si>
    <t>TOTAL</t>
  </si>
  <si>
    <t>% TWO</t>
  </si>
  <si>
    <t>Q13: ADC</t>
  </si>
  <si>
    <t>Average w/o 0</t>
  </si>
  <si>
    <t>Total Tonnage</t>
  </si>
  <si>
    <t>Number of Respondents</t>
  </si>
  <si>
    <t>Q2</t>
  </si>
  <si>
    <t>Breakdown of total waste received</t>
  </si>
  <si>
    <t>% Wood LF</t>
  </si>
  <si>
    <t>% Normal Waste LF</t>
  </si>
  <si>
    <t>% Wood Rec</t>
  </si>
  <si>
    <t>% Normal Waste Rec</t>
  </si>
  <si>
    <t>Wood LF Tons</t>
  </si>
  <si>
    <t>Normal Waste LF Tons</t>
  </si>
  <si>
    <t>Wood Rec Tons</t>
  </si>
  <si>
    <t>Normal Waste Rec Tons</t>
  </si>
  <si>
    <t>Tipping Fees</t>
  </si>
  <si>
    <t>Year</t>
  </si>
  <si>
    <t>Tonnage</t>
  </si>
  <si>
    <t>Actual</t>
  </si>
  <si>
    <t>Present Value</t>
  </si>
  <si>
    <t>% Accepting pallets for landfilling</t>
  </si>
  <si>
    <t>% NOW</t>
  </si>
  <si>
    <t>% TWO YEARS</t>
  </si>
  <si>
    <t>Operating Wood Pallet Recovery Area</t>
  </si>
  <si>
    <t>South</t>
  </si>
  <si>
    <t>West</t>
  </si>
  <si>
    <t>Northeast</t>
  </si>
  <si>
    <t>Midwest</t>
  </si>
  <si>
    <t>Arizona</t>
  </si>
  <si>
    <t>Michigan</t>
  </si>
  <si>
    <t>Presorted Waste</t>
  </si>
  <si>
    <t>Unsorted Waste</t>
  </si>
  <si>
    <t>Recovered Pallets</t>
  </si>
  <si>
    <t>Sorted Wood and Brush</t>
  </si>
  <si>
    <t xml:space="preserve">Facility Landfilling Capabilities </t>
  </si>
  <si>
    <t>Landfill Wood</t>
  </si>
  <si>
    <t>Landfill Pallets</t>
  </si>
  <si>
    <t>%</t>
  </si>
  <si>
    <t>Wood Waste Landfilled</t>
  </si>
  <si>
    <t>Land Clearing Debris - %</t>
  </si>
  <si>
    <t>Residential C&amp;D - %</t>
  </si>
  <si>
    <t>Commercial C&amp;D - %</t>
  </si>
  <si>
    <t>Treated Wood - %</t>
  </si>
  <si>
    <t>Wood Pallets and Crates - %</t>
  </si>
  <si>
    <t>Land Clearing Debris - Tonnage</t>
  </si>
  <si>
    <t>Residential C&amp;D - Tonnage</t>
  </si>
  <si>
    <t>Commercial C&amp;D - Tonnage</t>
  </si>
  <si>
    <t>Q8+9</t>
  </si>
  <si>
    <t>Q10</t>
  </si>
  <si>
    <t>Recovery by material (of those facilites that can recover)</t>
  </si>
  <si>
    <t>Wood Pallets</t>
  </si>
  <si>
    <t>Q11</t>
  </si>
  <si>
    <t>Operate separate recovery area?</t>
  </si>
  <si>
    <t>Recovery area for wood pallets</t>
  </si>
  <si>
    <t>Q12</t>
  </si>
  <si>
    <t>Wood Recovered by Category</t>
  </si>
  <si>
    <t>Amount</t>
  </si>
  <si>
    <t>Other - %</t>
  </si>
  <si>
    <t>Q13</t>
  </si>
  <si>
    <t>ADC</t>
  </si>
  <si>
    <t>Average with 0</t>
  </si>
  <si>
    <t>Average without 0</t>
  </si>
  <si>
    <t>Q14</t>
  </si>
  <si>
    <t>Chipped Wood Sales</t>
  </si>
  <si>
    <t>w/o 0</t>
  </si>
  <si>
    <t>count</t>
  </si>
  <si>
    <t>Q15</t>
  </si>
  <si>
    <t>Separate Pallets for other uses?</t>
  </si>
  <si>
    <t>Yes for Repair</t>
  </si>
  <si>
    <t>% Separating</t>
  </si>
  <si>
    <t>Q16</t>
  </si>
  <si>
    <t>Operate Recovery Area for Two Years?</t>
  </si>
  <si>
    <t xml:space="preserve">COUNT </t>
  </si>
  <si>
    <t>% Change</t>
  </si>
  <si>
    <t>Q17</t>
  </si>
  <si>
    <t>Selling price for pallets</t>
  </si>
  <si>
    <t>No Respondents</t>
  </si>
  <si>
    <t>$/Ton</t>
  </si>
  <si>
    <t>Commerical Use</t>
  </si>
  <si>
    <t>Residential Use</t>
  </si>
  <si>
    <t>Other Uses</t>
  </si>
  <si>
    <t>N/A</t>
  </si>
  <si>
    <t>Category of Use</t>
  </si>
  <si>
    <t>BLANK</t>
  </si>
  <si>
    <t>Now</t>
  </si>
  <si>
    <t>Two Years</t>
  </si>
  <si>
    <t>*****</t>
  </si>
  <si>
    <t>Tons per</t>
  </si>
  <si>
    <t>Percent</t>
  </si>
  <si>
    <t>C&amp;D Recovery Capability by Material</t>
  </si>
  <si>
    <t>Material</t>
  </si>
  <si>
    <t>Number of Facilities Surveyed</t>
  </si>
  <si>
    <t>Wood Pallets and Crates</t>
  </si>
  <si>
    <t>Other</t>
  </si>
  <si>
    <t>Landfilled Wood and Brush of facilities that indicated</t>
  </si>
  <si>
    <t>wood cateogry breakdown check</t>
  </si>
  <si>
    <t>Final</t>
  </si>
  <si>
    <t>Percentage</t>
  </si>
  <si>
    <t>Facility Tonnage</t>
  </si>
  <si>
    <t>Sum</t>
  </si>
  <si>
    <t>National</t>
  </si>
  <si>
    <t>Yard and Land Clearing Wood Debris</t>
  </si>
  <si>
    <t>Yard and Land Clearing Debris</t>
  </si>
  <si>
    <t>Industrial C&amp;D Wood Waste</t>
  </si>
  <si>
    <t>Residential C&amp;D Wood Waste</t>
  </si>
  <si>
    <t>Total C&amp;D Pallets Landfilled</t>
  </si>
  <si>
    <t>Total Waste</t>
  </si>
  <si>
    <t>Category Sum</t>
  </si>
  <si>
    <t>Perentage</t>
  </si>
  <si>
    <t>National Tonnage</t>
  </si>
  <si>
    <t xml:space="preserve">Industrial C&amp;D Wood </t>
  </si>
  <si>
    <t>Residential C&amp;D Wood</t>
  </si>
  <si>
    <t>Pallets</t>
  </si>
  <si>
    <t>Pallets Recovered</t>
  </si>
  <si>
    <t>Pallets Landfilled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</si>
</sst>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000000000000"/>
  </numFmts>
  <fonts count="24"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sz val="11"/>
      <name val="Calibri"/>
      <family val="2"/>
      <scheme val="minor"/>
    </font>
    <font>
      <u/>
      <sz val="11"/>
      <color theme="10"/>
      <name val="Calibri"/>
      <family val="2"/>
      <scheme val="minor"/>
    </font>
    <font>
      <u/>
      <sz val="11"/>
      <color theme="11"/>
      <name val="Calibri"/>
      <family val="2"/>
      <scheme val="minor"/>
    </font>
    <font>
      <sz val="11"/>
      <color rgb="FF000000"/>
      <name val="Calibri"/>
      <family val="2"/>
      <scheme val="minor"/>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theme="1" tint="0.249977111117893"/>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4"/>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bgColor indexed="64"/>
      </patternFill>
    </fill>
    <fill>
      <patternFill patternType="solid">
        <fgColor theme="5" tint="-0.249977111117893"/>
        <bgColor indexed="64"/>
      </patternFill>
    </fill>
    <fill>
      <patternFill patternType="solid">
        <fgColor theme="2" tint="-0.499984740745262"/>
        <bgColor indexed="64"/>
      </patternFill>
    </fill>
    <fill>
      <patternFill patternType="solid">
        <fgColor theme="7" tint="0.59999389629810485"/>
        <bgColor indexed="64"/>
      </patternFill>
    </fill>
  </fills>
  <borders count="5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thin">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right style="thin">
        <color auto="1"/>
      </right>
      <top style="medium">
        <color auto="1"/>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style="thin">
        <color auto="1"/>
      </right>
      <top style="medium">
        <color auto="1"/>
      </top>
      <bottom style="thin">
        <color auto="1"/>
      </bottom>
      <diagonal/>
    </border>
    <border>
      <left style="medium">
        <color auto="1"/>
      </left>
      <right/>
      <top/>
      <bottom style="thin">
        <color auto="1"/>
      </bottom>
      <diagonal/>
    </border>
    <border>
      <left style="medium">
        <color auto="1"/>
      </left>
      <right style="thin">
        <color auto="1"/>
      </right>
      <top/>
      <bottom style="thin">
        <color auto="1"/>
      </bottom>
      <diagonal/>
    </border>
  </borders>
  <cellStyleXfs count="7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1" fillId="0" borderId="0" applyNumberFormat="0" applyFill="0" applyBorder="0" applyAlignment="0" applyProtection="0"/>
    <xf numFmtId="0" fontId="22" fillId="0" borderId="0" applyNumberFormat="0" applyFill="0" applyBorder="0" applyAlignment="0" applyProtection="0"/>
  </cellStyleXfs>
  <cellXfs count="221">
    <xf numFmtId="0" fontId="0" fillId="0" borderId="0" xfId="0"/>
    <xf numFmtId="3" fontId="0" fillId="0" borderId="0" xfId="0" applyNumberFormat="1"/>
    <xf numFmtId="0" fontId="0" fillId="0" borderId="10" xfId="0" applyBorder="1"/>
    <xf numFmtId="0" fontId="0" fillId="0" borderId="11" xfId="0" applyBorder="1"/>
    <xf numFmtId="0" fontId="0" fillId="0" borderId="12" xfId="0" applyBorder="1"/>
    <xf numFmtId="0" fontId="0" fillId="33" borderId="13" xfId="0" applyFill="1" applyBorder="1"/>
    <xf numFmtId="0" fontId="0" fillId="33" borderId="0" xfId="0" applyFill="1" applyBorder="1"/>
    <xf numFmtId="0" fontId="0" fillId="33" borderId="14" xfId="0" applyFill="1" applyBorder="1"/>
    <xf numFmtId="0" fontId="0" fillId="0" borderId="13" xfId="0" applyBorder="1"/>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3" xfId="0" applyFill="1" applyBorder="1"/>
    <xf numFmtId="0" fontId="0" fillId="33" borderId="15" xfId="0" applyFill="1" applyBorder="1"/>
    <xf numFmtId="0" fontId="0" fillId="33" borderId="16" xfId="0" applyFill="1" applyBorder="1"/>
    <xf numFmtId="0" fontId="20" fillId="33" borderId="0" xfId="0" applyFont="1" applyFill="1" applyAlignment="1">
      <alignment horizontal="right"/>
    </xf>
    <xf numFmtId="0" fontId="0" fillId="35" borderId="0" xfId="0" applyFill="1"/>
    <xf numFmtId="0" fontId="0" fillId="36" borderId="0" xfId="0" applyFill="1"/>
    <xf numFmtId="0" fontId="0" fillId="35" borderId="10" xfId="0" applyFill="1" applyBorder="1"/>
    <xf numFmtId="0" fontId="0" fillId="35" borderId="11" xfId="0" applyFill="1" applyBorder="1"/>
    <xf numFmtId="0" fontId="0" fillId="35" borderId="12" xfId="0" applyFill="1" applyBorder="1"/>
    <xf numFmtId="0" fontId="0" fillId="36" borderId="13" xfId="0" applyFill="1" applyBorder="1"/>
    <xf numFmtId="0" fontId="0" fillId="36" borderId="0" xfId="0" applyFill="1" applyBorder="1"/>
    <xf numFmtId="0" fontId="0" fillId="36" borderId="14" xfId="0" applyFill="1" applyBorder="1"/>
    <xf numFmtId="0" fontId="20" fillId="33" borderId="13" xfId="0" applyFont="1" applyFill="1" applyBorder="1"/>
    <xf numFmtId="0" fontId="20" fillId="33" borderId="0" xfId="0" applyFont="1" applyFill="1" applyBorder="1"/>
    <xf numFmtId="0" fontId="0" fillId="0" borderId="14" xfId="0" applyFill="1" applyBorder="1"/>
    <xf numFmtId="0" fontId="0" fillId="35" borderId="13" xfId="0" applyFill="1" applyBorder="1"/>
    <xf numFmtId="0" fontId="0" fillId="35" borderId="0" xfId="0" applyFill="1" applyBorder="1"/>
    <xf numFmtId="0" fontId="0" fillId="35" borderId="14" xfId="0" applyFill="1" applyBorder="1"/>
    <xf numFmtId="0" fontId="0" fillId="36" borderId="16" xfId="0" applyFill="1" applyBorder="1"/>
    <xf numFmtId="0" fontId="0" fillId="36" borderId="17" xfId="0" applyFill="1" applyBorder="1"/>
    <xf numFmtId="0" fontId="0" fillId="35" borderId="18" xfId="0" applyFill="1" applyBorder="1"/>
    <xf numFmtId="0" fontId="0" fillId="0" borderId="19" xfId="0" applyBorder="1"/>
    <xf numFmtId="0" fontId="0" fillId="36" borderId="19" xfId="0" applyFill="1" applyBorder="1"/>
    <xf numFmtId="0" fontId="0" fillId="0" borderId="20" xfId="0" applyBorder="1"/>
    <xf numFmtId="0" fontId="0" fillId="0" borderId="18" xfId="0" applyBorder="1"/>
    <xf numFmtId="0" fontId="0" fillId="35" borderId="19" xfId="0" applyFill="1" applyBorder="1"/>
    <xf numFmtId="0" fontId="0" fillId="36" borderId="15" xfId="0" applyFill="1" applyBorder="1"/>
    <xf numFmtId="0" fontId="0" fillId="0" borderId="0" xfId="0" applyFill="1" applyBorder="1"/>
    <xf numFmtId="0" fontId="0" fillId="37" borderId="0" xfId="0" applyFill="1" applyBorder="1"/>
    <xf numFmtId="0" fontId="20" fillId="36" borderId="0" xfId="0" applyFont="1" applyFill="1" applyBorder="1"/>
    <xf numFmtId="0" fontId="0" fillId="37" borderId="14" xfId="0" applyFill="1" applyBorder="1"/>
    <xf numFmtId="0" fontId="0" fillId="39" borderId="13" xfId="0" applyFill="1" applyBorder="1"/>
    <xf numFmtId="0" fontId="0" fillId="39" borderId="0" xfId="0" applyFill="1" applyBorder="1"/>
    <xf numFmtId="0" fontId="0" fillId="39" borderId="14" xfId="0" applyFill="1" applyBorder="1"/>
    <xf numFmtId="0" fontId="0" fillId="39" borderId="16" xfId="0" applyFill="1" applyBorder="1"/>
    <xf numFmtId="0" fontId="0" fillId="39" borderId="17" xfId="0" applyFill="1" applyBorder="1"/>
    <xf numFmtId="0" fontId="20" fillId="37" borderId="0" xfId="0" applyFont="1" applyFill="1" applyAlignment="1">
      <alignment horizontal="right"/>
    </xf>
    <xf numFmtId="0" fontId="0" fillId="39" borderId="0" xfId="0" applyFill="1" applyAlignment="1">
      <alignment horizontal="right"/>
    </xf>
    <xf numFmtId="0" fontId="0" fillId="36" borderId="11" xfId="0" applyFill="1" applyBorder="1"/>
    <xf numFmtId="0" fontId="0" fillId="36" borderId="12" xfId="0" applyFill="1" applyBorder="1"/>
    <xf numFmtId="0" fontId="20" fillId="36" borderId="14" xfId="0" applyFont="1" applyFill="1" applyBorder="1"/>
    <xf numFmtId="9" fontId="0" fillId="0" borderId="13" xfId="0" applyNumberFormat="1" applyBorder="1"/>
    <xf numFmtId="0" fontId="0" fillId="38" borderId="10" xfId="0" applyFill="1" applyBorder="1"/>
    <xf numFmtId="0" fontId="0" fillId="38" borderId="11" xfId="0" applyFill="1" applyBorder="1"/>
    <xf numFmtId="0" fontId="0" fillId="38" borderId="12" xfId="0" applyFill="1" applyBorder="1"/>
    <xf numFmtId="0" fontId="20" fillId="34" borderId="0" xfId="0" applyFont="1" applyFill="1"/>
    <xf numFmtId="0" fontId="0" fillId="0" borderId="18"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41" borderId="13" xfId="0" applyFill="1" applyBorder="1" applyAlignment="1">
      <alignment wrapText="1"/>
    </xf>
    <xf numFmtId="0" fontId="0" fillId="41" borderId="0" xfId="0" applyFill="1" applyBorder="1" applyAlignment="1">
      <alignment horizontal="center" wrapText="1"/>
    </xf>
    <xf numFmtId="0" fontId="0" fillId="42" borderId="0" xfId="0" applyFill="1"/>
    <xf numFmtId="0" fontId="0" fillId="39" borderId="0" xfId="0" applyFill="1"/>
    <xf numFmtId="0" fontId="0" fillId="39" borderId="18" xfId="0" applyFill="1" applyBorder="1"/>
    <xf numFmtId="0" fontId="0" fillId="39" borderId="23" xfId="0" applyFill="1" applyBorder="1"/>
    <xf numFmtId="0" fontId="0" fillId="39" borderId="24" xfId="0" applyFill="1" applyBorder="1"/>
    <xf numFmtId="0" fontId="0" fillId="39" borderId="21" xfId="0" applyFill="1" applyBorder="1" applyAlignment="1">
      <alignment wrapText="1"/>
    </xf>
    <xf numFmtId="0" fontId="0" fillId="41" borderId="25" xfId="0" applyFill="1" applyBorder="1" applyAlignment="1">
      <alignment wrapText="1"/>
    </xf>
    <xf numFmtId="0" fontId="0" fillId="41" borderId="26" xfId="0" applyFill="1" applyBorder="1" applyAlignment="1">
      <alignment wrapText="1"/>
    </xf>
    <xf numFmtId="0" fontId="0" fillId="41" borderId="27" xfId="0" applyFill="1" applyBorder="1" applyAlignment="1">
      <alignment wrapText="1"/>
    </xf>
    <xf numFmtId="0" fontId="0" fillId="41" borderId="25" xfId="0" applyFill="1" applyBorder="1" applyAlignment="1">
      <alignment horizontal="center" wrapText="1"/>
    </xf>
    <xf numFmtId="0" fontId="0" fillId="41" borderId="27" xfId="0" applyFill="1" applyBorder="1" applyAlignment="1">
      <alignment horizontal="center" wrapText="1"/>
    </xf>
    <xf numFmtId="0" fontId="0" fillId="41" borderId="26" xfId="0" applyFill="1" applyBorder="1" applyAlignment="1">
      <alignment horizontal="center" wrapText="1"/>
    </xf>
    <xf numFmtId="0" fontId="0" fillId="41" borderId="21" xfId="0" applyFill="1" applyBorder="1" applyAlignment="1">
      <alignment horizontal="center" wrapText="1"/>
    </xf>
    <xf numFmtId="0" fontId="0" fillId="41" borderId="21" xfId="0" applyFill="1" applyBorder="1" applyAlignment="1">
      <alignment wrapText="1"/>
    </xf>
    <xf numFmtId="0" fontId="0" fillId="39" borderId="28" xfId="0" applyFill="1" applyBorder="1"/>
    <xf numFmtId="10" fontId="0" fillId="0" borderId="0" xfId="0" applyNumberFormat="1"/>
    <xf numFmtId="0" fontId="0" fillId="43" borderId="22" xfId="0" applyFill="1" applyBorder="1"/>
    <xf numFmtId="0" fontId="0" fillId="43" borderId="29" xfId="0" applyFill="1" applyBorder="1"/>
    <xf numFmtId="0" fontId="0" fillId="43" borderId="30" xfId="0" applyFill="1" applyBorder="1"/>
    <xf numFmtId="0" fontId="0" fillId="43" borderId="31" xfId="0" applyFill="1" applyBorder="1"/>
    <xf numFmtId="0" fontId="0" fillId="43" borderId="32" xfId="0" applyFill="1" applyBorder="1"/>
    <xf numFmtId="0" fontId="0" fillId="43" borderId="33" xfId="0" applyFill="1" applyBorder="1"/>
    <xf numFmtId="0" fontId="0" fillId="43" borderId="34" xfId="0" applyFill="1" applyBorder="1"/>
    <xf numFmtId="0" fontId="0" fillId="43" borderId="35" xfId="0" applyFill="1" applyBorder="1"/>
    <xf numFmtId="0" fontId="0" fillId="43" borderId="36" xfId="0" applyFill="1" applyBorder="1"/>
    <xf numFmtId="164" fontId="0" fillId="43" borderId="37" xfId="0" applyNumberFormat="1" applyFill="1" applyBorder="1"/>
    <xf numFmtId="164" fontId="0" fillId="43" borderId="38" xfId="0" applyNumberFormat="1" applyFill="1" applyBorder="1"/>
    <xf numFmtId="0" fontId="20" fillId="40" borderId="39" xfId="0" applyFont="1" applyFill="1" applyBorder="1" applyAlignment="1">
      <alignment horizontal="center" wrapText="1"/>
    </xf>
    <xf numFmtId="0" fontId="20" fillId="40" borderId="40" xfId="0" applyFont="1" applyFill="1" applyBorder="1" applyAlignment="1">
      <alignment horizontal="center" wrapText="1"/>
    </xf>
    <xf numFmtId="0" fontId="0" fillId="43" borderId="41" xfId="0" applyFill="1" applyBorder="1"/>
    <xf numFmtId="0" fontId="0" fillId="43" borderId="42" xfId="0" applyFill="1" applyBorder="1"/>
    <xf numFmtId="0" fontId="0" fillId="43" borderId="43" xfId="0" applyFill="1" applyBorder="1"/>
    <xf numFmtId="10" fontId="0" fillId="43" borderId="35" xfId="0" applyNumberFormat="1" applyFill="1" applyBorder="1"/>
    <xf numFmtId="10" fontId="0" fillId="43" borderId="36" xfId="0" applyNumberFormat="1" applyFill="1" applyBorder="1"/>
    <xf numFmtId="0" fontId="20" fillId="40" borderId="44" xfId="0" applyFont="1" applyFill="1" applyBorder="1" applyAlignment="1">
      <alignment horizontal="center" wrapText="1"/>
    </xf>
    <xf numFmtId="164" fontId="0" fillId="43" borderId="45" xfId="0" applyNumberFormat="1" applyFill="1" applyBorder="1"/>
    <xf numFmtId="0" fontId="0" fillId="43" borderId="46" xfId="0" applyFill="1" applyBorder="1"/>
    <xf numFmtId="0" fontId="0" fillId="43" borderId="47" xfId="0" applyFill="1" applyBorder="1"/>
    <xf numFmtId="2" fontId="0" fillId="0" borderId="22" xfId="0" applyNumberFormat="1" applyBorder="1"/>
    <xf numFmtId="0" fontId="0" fillId="0" borderId="22" xfId="0" applyBorder="1"/>
    <xf numFmtId="0" fontId="0" fillId="41" borderId="30" xfId="0" applyFill="1" applyBorder="1" applyAlignment="1">
      <alignment horizontal="center" wrapText="1"/>
    </xf>
    <xf numFmtId="0" fontId="0" fillId="41" borderId="31" xfId="0" applyFill="1" applyBorder="1" applyAlignment="1">
      <alignment horizontal="center" wrapText="1"/>
    </xf>
    <xf numFmtId="2" fontId="0" fillId="0" borderId="32" xfId="0" applyNumberFormat="1" applyBorder="1"/>
    <xf numFmtId="0" fontId="0" fillId="0" borderId="33" xfId="0" applyFill="1" applyBorder="1"/>
    <xf numFmtId="0" fontId="0" fillId="0" borderId="34" xfId="0" applyBorder="1"/>
    <xf numFmtId="0" fontId="0" fillId="0" borderId="35" xfId="0" applyBorder="1"/>
    <xf numFmtId="0" fontId="0" fillId="0" borderId="36" xfId="0" applyBorder="1"/>
    <xf numFmtId="0" fontId="0" fillId="42" borderId="11" xfId="0" applyFill="1" applyBorder="1" applyAlignment="1">
      <alignment horizontal="center"/>
    </xf>
    <xf numFmtId="0" fontId="0" fillId="42" borderId="25" xfId="0" applyFill="1" applyBorder="1" applyAlignment="1">
      <alignment wrapText="1"/>
    </xf>
    <xf numFmtId="0" fontId="0" fillId="42" borderId="0" xfId="0" applyFill="1" applyBorder="1"/>
    <xf numFmtId="0" fontId="0" fillId="42" borderId="13" xfId="0" applyFill="1" applyBorder="1"/>
    <xf numFmtId="0" fontId="0" fillId="42" borderId="16" xfId="0" applyFill="1" applyBorder="1"/>
    <xf numFmtId="0" fontId="0" fillId="42" borderId="0" xfId="0" applyFill="1" applyBorder="1" applyAlignment="1">
      <alignment wrapText="1"/>
    </xf>
    <xf numFmtId="0" fontId="0" fillId="41" borderId="10" xfId="0" applyFill="1" applyBorder="1" applyAlignment="1">
      <alignment wrapText="1"/>
    </xf>
    <xf numFmtId="0" fontId="0" fillId="41" borderId="11" xfId="0" applyFill="1" applyBorder="1" applyAlignment="1">
      <alignment wrapText="1"/>
    </xf>
    <xf numFmtId="0" fontId="0" fillId="41" borderId="11" xfId="0" applyFill="1" applyBorder="1" applyAlignment="1">
      <alignment horizontal="center" wrapText="1"/>
    </xf>
    <xf numFmtId="0" fontId="0" fillId="41" borderId="12" xfId="0" applyFill="1" applyBorder="1" applyAlignment="1">
      <alignment horizontal="center" wrapText="1"/>
    </xf>
    <xf numFmtId="0" fontId="0" fillId="0" borderId="29" xfId="0" applyBorder="1"/>
    <xf numFmtId="0" fontId="0" fillId="0" borderId="30" xfId="0" applyBorder="1"/>
    <xf numFmtId="0" fontId="0" fillId="0" borderId="31" xfId="0" applyBorder="1"/>
    <xf numFmtId="0" fontId="0" fillId="0" borderId="32" xfId="0" applyBorder="1"/>
    <xf numFmtId="0" fontId="0" fillId="0" borderId="33" xfId="0" applyBorder="1"/>
    <xf numFmtId="0" fontId="0" fillId="42" borderId="25" xfId="0" applyFill="1" applyBorder="1" applyAlignment="1">
      <alignment horizontal="center" wrapText="1"/>
    </xf>
    <xf numFmtId="0" fontId="0" fillId="42" borderId="0" xfId="0" applyFill="1" applyBorder="1" applyAlignment="1">
      <alignment horizontal="center" wrapText="1"/>
    </xf>
    <xf numFmtId="0" fontId="0" fillId="42" borderId="12" xfId="0" applyFill="1" applyBorder="1" applyAlignment="1">
      <alignment horizontal="center"/>
    </xf>
    <xf numFmtId="10" fontId="0" fillId="0" borderId="19" xfId="0" applyNumberFormat="1" applyBorder="1"/>
    <xf numFmtId="10" fontId="0" fillId="0" borderId="13" xfId="0" applyNumberFormat="1" applyBorder="1"/>
    <xf numFmtId="0" fontId="0" fillId="42" borderId="10" xfId="0" applyFill="1" applyBorder="1"/>
    <xf numFmtId="0" fontId="0" fillId="42" borderId="26" xfId="0" applyFill="1" applyBorder="1" applyAlignment="1">
      <alignment wrapText="1"/>
    </xf>
    <xf numFmtId="0" fontId="0" fillId="42" borderId="19" xfId="0" applyFill="1" applyBorder="1"/>
    <xf numFmtId="10" fontId="0" fillId="42" borderId="13" xfId="0" applyNumberFormat="1" applyFill="1" applyBorder="1"/>
    <xf numFmtId="0" fontId="0" fillId="42" borderId="27" xfId="0" applyFill="1" applyBorder="1" applyAlignment="1">
      <alignment horizontal="center" wrapText="1"/>
    </xf>
    <xf numFmtId="0" fontId="0" fillId="42" borderId="14" xfId="0" applyFill="1" applyBorder="1"/>
    <xf numFmtId="0" fontId="0" fillId="42" borderId="29" xfId="0" applyFill="1" applyBorder="1" applyAlignment="1">
      <alignment wrapText="1"/>
    </xf>
    <xf numFmtId="0" fontId="0" fillId="41" borderId="30" xfId="0" applyFill="1" applyBorder="1" applyAlignment="1">
      <alignment vertical="center" wrapText="1"/>
    </xf>
    <xf numFmtId="0" fontId="0" fillId="41" borderId="30" xfId="0" applyFill="1" applyBorder="1" applyAlignment="1">
      <alignment horizontal="center" vertical="center" wrapText="1"/>
    </xf>
    <xf numFmtId="0" fontId="0" fillId="41" borderId="31" xfId="0" applyFill="1" applyBorder="1" applyAlignment="1">
      <alignment horizontal="center" vertical="center" wrapText="1"/>
    </xf>
    <xf numFmtId="0" fontId="0" fillId="42" borderId="32" xfId="0" applyFill="1" applyBorder="1"/>
    <xf numFmtId="0" fontId="0" fillId="42" borderId="34" xfId="0" applyFill="1" applyBorder="1"/>
    <xf numFmtId="0" fontId="0" fillId="41" borderId="48" xfId="0" applyFill="1" applyBorder="1" applyAlignment="1">
      <alignment horizontal="center" vertical="center" wrapText="1"/>
    </xf>
    <xf numFmtId="0" fontId="0" fillId="0" borderId="49" xfId="0" applyBorder="1"/>
    <xf numFmtId="0" fontId="0" fillId="0" borderId="50" xfId="0" applyBorder="1"/>
    <xf numFmtId="0" fontId="0" fillId="42" borderId="29" xfId="0" applyFill="1" applyBorder="1" applyAlignment="1">
      <alignment horizontal="center" wrapText="1"/>
    </xf>
    <xf numFmtId="0" fontId="0" fillId="42" borderId="0" xfId="0" applyFill="1" applyBorder="1" applyAlignment="1">
      <alignment horizontal="center" vertical="center" wrapText="1"/>
    </xf>
    <xf numFmtId="10" fontId="0" fillId="0" borderId="0" xfId="0" applyNumberFormat="1" applyBorder="1"/>
    <xf numFmtId="2" fontId="0" fillId="0" borderId="33" xfId="0" applyNumberFormat="1" applyFill="1" applyBorder="1"/>
    <xf numFmtId="164" fontId="0" fillId="0" borderId="0" xfId="0" applyNumberFormat="1"/>
    <xf numFmtId="10" fontId="0" fillId="0" borderId="14" xfId="0" applyNumberFormat="1" applyBorder="1"/>
    <xf numFmtId="3" fontId="0" fillId="0" borderId="0" xfId="0" applyNumberFormat="1" applyBorder="1"/>
    <xf numFmtId="0" fontId="0" fillId="0" borderId="11" xfId="0" applyBorder="1" applyAlignment="1">
      <alignment horizontal="center"/>
    </xf>
    <xf numFmtId="0" fontId="0" fillId="0" borderId="12" xfId="0" applyBorder="1" applyAlignment="1">
      <alignment horizontal="center"/>
    </xf>
    <xf numFmtId="0" fontId="0" fillId="41" borderId="29" xfId="0" applyFill="1" applyBorder="1" applyAlignment="1">
      <alignment horizontal="center" wrapText="1"/>
    </xf>
    <xf numFmtId="0" fontId="16" fillId="0" borderId="0" xfId="0" applyFont="1"/>
    <xf numFmtId="44" fontId="0" fillId="0" borderId="0" xfId="0" applyNumberFormat="1"/>
    <xf numFmtId="1" fontId="0" fillId="0" borderId="0" xfId="0" applyNumberFormat="1"/>
    <xf numFmtId="0" fontId="0" fillId="0" borderId="0" xfId="0" applyFont="1" applyAlignment="1">
      <alignment horizontal="right"/>
    </xf>
    <xf numFmtId="0" fontId="16" fillId="39" borderId="0" xfId="0" applyFont="1" applyFill="1"/>
    <xf numFmtId="164" fontId="0" fillId="0" borderId="22" xfId="0" applyNumberFormat="1" applyBorder="1" applyAlignment="1">
      <alignment horizontal="center"/>
    </xf>
    <xf numFmtId="3" fontId="0" fillId="0" borderId="33" xfId="0" applyNumberFormat="1" applyBorder="1" applyAlignment="1">
      <alignment horizontal="center"/>
    </xf>
    <xf numFmtId="164" fontId="0" fillId="0" borderId="35" xfId="0" applyNumberFormat="1" applyBorder="1" applyAlignment="1">
      <alignment horizontal="center"/>
    </xf>
    <xf numFmtId="3" fontId="0" fillId="0" borderId="36" xfId="0" applyNumberFormat="1" applyBorder="1" applyAlignment="1">
      <alignment horizontal="center"/>
    </xf>
    <xf numFmtId="0" fontId="0" fillId="44" borderId="29" xfId="0" applyFill="1" applyBorder="1"/>
    <xf numFmtId="0" fontId="0" fillId="44" borderId="30" xfId="0" applyFill="1" applyBorder="1"/>
    <xf numFmtId="0" fontId="0" fillId="44" borderId="31" xfId="0" applyFill="1" applyBorder="1"/>
    <xf numFmtId="0" fontId="0" fillId="45" borderId="0" xfId="0" applyFill="1" applyBorder="1"/>
    <xf numFmtId="0" fontId="0" fillId="45" borderId="19" xfId="0" applyFill="1" applyBorder="1"/>
    <xf numFmtId="0" fontId="0" fillId="46" borderId="19" xfId="0" applyFill="1" applyBorder="1"/>
    <xf numFmtId="0" fontId="0" fillId="46" borderId="0" xfId="0" applyFill="1" applyBorder="1"/>
    <xf numFmtId="0" fontId="0" fillId="46" borderId="13" xfId="0" applyFill="1" applyBorder="1"/>
    <xf numFmtId="10" fontId="0" fillId="0" borderId="33" xfId="0" applyNumberFormat="1" applyBorder="1"/>
    <xf numFmtId="10" fontId="0" fillId="0" borderId="36" xfId="0" applyNumberFormat="1" applyBorder="1"/>
    <xf numFmtId="0" fontId="0" fillId="0" borderId="51" xfId="0" applyBorder="1"/>
    <xf numFmtId="0" fontId="0" fillId="0" borderId="52" xfId="0" applyBorder="1"/>
    <xf numFmtId="0" fontId="0" fillId="0" borderId="53" xfId="0" applyBorder="1"/>
    <xf numFmtId="10" fontId="0" fillId="0" borderId="46" xfId="0" applyNumberFormat="1" applyBorder="1"/>
    <xf numFmtId="10" fontId="0" fillId="0" borderId="47" xfId="0" applyNumberFormat="1" applyBorder="1"/>
    <xf numFmtId="0" fontId="0" fillId="0" borderId="55" xfId="0" applyBorder="1"/>
    <xf numFmtId="10" fontId="0" fillId="0" borderId="45" xfId="0" applyNumberFormat="1" applyBorder="1"/>
    <xf numFmtId="10" fontId="0" fillId="0" borderId="38" xfId="0" applyNumberFormat="1" applyBorder="1"/>
    <xf numFmtId="0" fontId="16" fillId="0" borderId="53" xfId="0" applyFont="1" applyBorder="1" applyAlignment="1">
      <alignment horizontal="center"/>
    </xf>
    <xf numFmtId="0" fontId="16" fillId="0" borderId="34" xfId="0" applyFont="1" applyBorder="1" applyAlignment="1">
      <alignment horizontal="center"/>
    </xf>
    <xf numFmtId="0" fontId="16" fillId="0" borderId="36" xfId="0" applyFont="1" applyBorder="1" applyAlignment="1">
      <alignment horizontal="center"/>
    </xf>
    <xf numFmtId="0" fontId="16" fillId="0" borderId="47" xfId="0" applyFont="1" applyBorder="1" applyAlignment="1">
      <alignment horizontal="center"/>
    </xf>
    <xf numFmtId="10" fontId="0" fillId="0" borderId="56" xfId="0" applyNumberFormat="1" applyBorder="1"/>
    <xf numFmtId="10" fontId="0" fillId="0" borderId="32" xfId="0" applyNumberFormat="1" applyBorder="1"/>
    <xf numFmtId="10" fontId="0" fillId="0" borderId="34" xfId="0" applyNumberFormat="1" applyBorder="1"/>
    <xf numFmtId="0" fontId="0" fillId="0" borderId="11" xfId="0" applyBorder="1" applyAlignment="1">
      <alignment horizontal="center"/>
    </xf>
    <xf numFmtId="2" fontId="0" fillId="0" borderId="0" xfId="0" applyNumberFormat="1"/>
    <xf numFmtId="0" fontId="0" fillId="47" borderId="0" xfId="0" applyFill="1"/>
    <xf numFmtId="0" fontId="23" fillId="0" borderId="0" xfId="0" applyFont="1" applyBorder="1"/>
    <xf numFmtId="0" fontId="0" fillId="48" borderId="23" xfId="0" applyFill="1" applyBorder="1"/>
    <xf numFmtId="0" fontId="0" fillId="48" borderId="0" xfId="0" applyFill="1"/>
    <xf numFmtId="0" fontId="0" fillId="48" borderId="13" xfId="0" applyFill="1" applyBorder="1"/>
    <xf numFmtId="0" fontId="0" fillId="48" borderId="0" xfId="0" applyFill="1" applyBorder="1"/>
    <xf numFmtId="0" fontId="0" fillId="48" borderId="14" xfId="0" applyFill="1" applyBorder="1"/>
    <xf numFmtId="0" fontId="0" fillId="48" borderId="19" xfId="0" applyFill="1" applyBorder="1"/>
    <xf numFmtId="0" fontId="0" fillId="46" borderId="23" xfId="0" applyFill="1" applyBorder="1"/>
    <xf numFmtId="0" fontId="0" fillId="46" borderId="0" xfId="0" applyFill="1"/>
    <xf numFmtId="0" fontId="0" fillId="46" borderId="14" xfId="0" applyFill="1" applyBorder="1"/>
    <xf numFmtId="165" fontId="0" fillId="0" borderId="0" xfId="0" applyNumberFormat="1"/>
    <xf numFmtId="0" fontId="0" fillId="41" borderId="0" xfId="0" applyFill="1" applyBorder="1" applyAlignment="1">
      <alignment wrapText="1"/>
    </xf>
    <xf numFmtId="4" fontId="0" fillId="0" borderId="0" xfId="0" applyNumberFormat="1" applyBorder="1"/>
    <xf numFmtId="3" fontId="0" fillId="0" borderId="0" xfId="0" applyNumberFormat="1" applyFill="1" applyBorder="1"/>
    <xf numFmtId="10" fontId="0" fillId="0" borderId="0" xfId="0" applyNumberFormat="1" applyFill="1" applyBorder="1"/>
    <xf numFmtId="0" fontId="0" fillId="0" borderId="10" xfId="0"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26" xfId="0" applyBorder="1" applyAlignment="1">
      <alignment horizontal="center"/>
    </xf>
    <xf numFmtId="0" fontId="0" fillId="0" borderId="25" xfId="0" applyBorder="1" applyAlignment="1">
      <alignment horizontal="center"/>
    </xf>
    <xf numFmtId="0" fontId="0" fillId="0" borderId="27" xfId="0" applyBorder="1" applyAlignment="1">
      <alignment horizontal="center"/>
    </xf>
    <xf numFmtId="0" fontId="16" fillId="0" borderId="29" xfId="0" applyFont="1" applyBorder="1" applyAlignment="1">
      <alignment horizontal="center"/>
    </xf>
    <xf numFmtId="0" fontId="16" fillId="0" borderId="31" xfId="0" applyFont="1" applyBorder="1" applyAlignment="1">
      <alignment horizontal="center"/>
    </xf>
    <xf numFmtId="0" fontId="16" fillId="0" borderId="54" xfId="0" applyFont="1" applyBorder="1" applyAlignment="1">
      <alignment horizontal="center"/>
    </xf>
    <xf numFmtId="0" fontId="16" fillId="44" borderId="26" xfId="0" applyFont="1" applyFill="1" applyBorder="1" applyAlignment="1">
      <alignment horizontal="center"/>
    </xf>
    <xf numFmtId="0" fontId="16" fillId="44" borderId="25" xfId="0" applyFont="1" applyFill="1" applyBorder="1" applyAlignment="1">
      <alignment horizontal="center"/>
    </xf>
    <xf numFmtId="0" fontId="16" fillId="44" borderId="27" xfId="0" applyFont="1" applyFill="1" applyBorder="1" applyAlignment="1">
      <alignment horizontal="center"/>
    </xf>
  </cellXfs>
  <cellStyles count="7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010289413663101"/>
          <c:y val="7.9884206340276001E-2"/>
          <c:w val="0.80307773812190597"/>
          <c:h val="0.78838128598895296"/>
        </c:manualLayout>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'Raw Data'!$T$65:$W$65</c:f>
              <c:strCache>
                <c:ptCount val="4"/>
                <c:pt idx="0">
                  <c:v>Unsorted waste - Tipping fee</c:v>
                </c:pt>
                <c:pt idx="1">
                  <c:v>Presorted waste - Tipping fee</c:v>
                </c:pt>
                <c:pt idx="2">
                  <c:v> Sorted wood and brush - Tipping fee</c:v>
                </c:pt>
                <c:pt idx="3">
                  <c:v>Recovered pallets - Tipping fee</c:v>
                </c:pt>
              </c:strCache>
            </c:strRef>
          </c:cat>
          <c:val>
            <c:numRef>
              <c:f>'Raw Data'!$T$66:$W$66</c:f>
              <c:numCache>
                <c:formatCode>"$"#,##0.00</c:formatCode>
                <c:ptCount val="4"/>
                <c:pt idx="0">
                  <c:v>42.876666666666665</c:v>
                </c:pt>
                <c:pt idx="1">
                  <c:v>37.697142857142858</c:v>
                </c:pt>
                <c:pt idx="2">
                  <c:v>28.78896551724138</c:v>
                </c:pt>
                <c:pt idx="3">
                  <c:v>29.799130434782608</c:v>
                </c:pt>
              </c:numCache>
            </c:numRef>
          </c:val>
          <c:extLst>
            <c:ext xmlns:c16="http://schemas.microsoft.com/office/drawing/2014/chart" uri="{C3380CC4-5D6E-409C-BE32-E72D297353CC}">
              <c16:uniqueId val="{00000000-0C26-43F9-9F8A-F6915C380DDB}"/>
            </c:ext>
          </c:extLst>
        </c:ser>
        <c:dLbls>
          <c:dLblPos val="ctr"/>
          <c:showLegendKey val="0"/>
          <c:showVal val="1"/>
          <c:showCatName val="0"/>
          <c:showSerName val="0"/>
          <c:showPercent val="0"/>
          <c:showBubbleSize val="0"/>
        </c:dLbls>
        <c:gapWidth val="219"/>
        <c:overlap val="-27"/>
        <c:axId val="-1484052000"/>
        <c:axId val="-1484057952"/>
      </c:barChart>
      <c:catAx>
        <c:axId val="-1484052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057952"/>
        <c:crosses val="autoZero"/>
        <c:auto val="1"/>
        <c:lblAlgn val="ctr"/>
        <c:lblOffset val="100"/>
        <c:noMultiLvlLbl val="0"/>
      </c:catAx>
      <c:valAx>
        <c:axId val="-1484057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052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Total Number of Pallets REceived</a:t>
            </a:r>
            <a:r>
              <a:rPr lang="en-US" baseline="0"/>
              <a:t> at C&amp;D Facilities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stacked"/>
        <c:varyColors val="0"/>
        <c:ser>
          <c:idx val="0"/>
          <c:order val="0"/>
          <c:tx>
            <c:strRef>
              <c:f>'Raw Data'!$BL$144</c:f>
              <c:strCache>
                <c:ptCount val="1"/>
                <c:pt idx="0">
                  <c:v>Pallets Recovered</c:v>
                </c:pt>
              </c:strCache>
            </c:strRef>
          </c:tx>
          <c:spPr>
            <a:solidFill>
              <a:schemeClr val="accent2">
                <a:shade val="76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'Raw Data'!$BK$145:$BK$147</c:f>
              <c:numCache>
                <c:formatCode>General</c:formatCode>
                <c:ptCount val="3"/>
                <c:pt idx="0">
                  <c:v>1995</c:v>
                </c:pt>
                <c:pt idx="1">
                  <c:v>1998</c:v>
                </c:pt>
                <c:pt idx="2">
                  <c:v>2016</c:v>
                </c:pt>
              </c:numCache>
            </c:numRef>
          </c:cat>
          <c:val>
            <c:numRef>
              <c:f>'Raw Data'!$BL$145:$BL$147</c:f>
              <c:numCache>
                <c:formatCode>#,##0</c:formatCode>
                <c:ptCount val="3"/>
                <c:pt idx="0">
                  <c:v>5887300</c:v>
                </c:pt>
                <c:pt idx="1">
                  <c:v>15904000</c:v>
                </c:pt>
                <c:pt idx="2">
                  <c:v>24899217.009245083</c:v>
                </c:pt>
              </c:numCache>
            </c:numRef>
          </c:val>
          <c:extLst>
            <c:ext xmlns:c16="http://schemas.microsoft.com/office/drawing/2014/chart" uri="{C3380CC4-5D6E-409C-BE32-E72D297353CC}">
              <c16:uniqueId val="{00000000-D533-BF48-B9BF-8E4E5028BAA7}"/>
            </c:ext>
          </c:extLst>
        </c:ser>
        <c:ser>
          <c:idx val="1"/>
          <c:order val="1"/>
          <c:tx>
            <c:strRef>
              <c:f>'Raw Data'!$BM$144</c:f>
              <c:strCache>
                <c:ptCount val="1"/>
                <c:pt idx="0">
                  <c:v>Pallets Landfilled</c:v>
                </c:pt>
              </c:strCache>
            </c:strRef>
          </c:tx>
          <c:spPr>
            <a:solidFill>
              <a:schemeClr val="accent2">
                <a:tint val="77000"/>
              </a:schemeClr>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100" b="0" i="0" u="none" strike="noStrike" kern="1200" baseline="0">
                    <a:solidFill>
                      <a:schemeClr val="tx1"/>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'Raw Data'!$BK$145:$BK$147</c:f>
              <c:numCache>
                <c:formatCode>General</c:formatCode>
                <c:ptCount val="3"/>
                <c:pt idx="0">
                  <c:v>1995</c:v>
                </c:pt>
                <c:pt idx="1">
                  <c:v>1998</c:v>
                </c:pt>
                <c:pt idx="2">
                  <c:v>2016</c:v>
                </c:pt>
              </c:numCache>
            </c:numRef>
          </c:cat>
          <c:val>
            <c:numRef>
              <c:f>'Raw Data'!$BM$145:$BM$147</c:f>
              <c:numCache>
                <c:formatCode>#,##0</c:formatCode>
                <c:ptCount val="3"/>
                <c:pt idx="0">
                  <c:v>32690000</c:v>
                </c:pt>
                <c:pt idx="1">
                  <c:v>40484000</c:v>
                </c:pt>
                <c:pt idx="2">
                  <c:v>12222619.454020733</c:v>
                </c:pt>
              </c:numCache>
            </c:numRef>
          </c:val>
          <c:extLst>
            <c:ext xmlns:c16="http://schemas.microsoft.com/office/drawing/2014/chart" uri="{C3380CC4-5D6E-409C-BE32-E72D297353CC}">
              <c16:uniqueId val="{00000001-D533-BF48-B9BF-8E4E5028BAA7}"/>
            </c:ext>
          </c:extLst>
        </c:ser>
        <c:dLbls>
          <c:dLblPos val="ctr"/>
          <c:showLegendKey val="0"/>
          <c:showVal val="1"/>
          <c:showCatName val="0"/>
          <c:showSerName val="0"/>
          <c:showPercent val="0"/>
          <c:showBubbleSize val="0"/>
        </c:dLbls>
        <c:gapWidth val="79"/>
        <c:overlap val="100"/>
        <c:axId val="1797765104"/>
        <c:axId val="1797459664"/>
      </c:barChart>
      <c:catAx>
        <c:axId val="1797765104"/>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cap="all" spc="120" normalizeH="0" baseline="0">
                <a:solidFill>
                  <a:schemeClr val="tx1">
                    <a:lumMod val="65000"/>
                    <a:lumOff val="35000"/>
                  </a:schemeClr>
                </a:solidFill>
                <a:latin typeface="+mn-lt"/>
                <a:ea typeface="+mn-ea"/>
                <a:cs typeface="+mn-cs"/>
              </a:defRPr>
            </a:pPr>
            <a:endParaRPr lang="en-US"/>
          </a:p>
        </c:txPr>
        <c:crossAx val="1797459664"/>
        <c:crosses val="autoZero"/>
        <c:auto val="1"/>
        <c:lblAlgn val="ctr"/>
        <c:lblOffset val="100"/>
        <c:noMultiLvlLbl val="0"/>
      </c:catAx>
      <c:valAx>
        <c:axId val="1797459664"/>
        <c:scaling>
          <c:orientation val="minMax"/>
        </c:scaling>
        <c:delete val="1"/>
        <c:axPos val="l"/>
        <c:numFmt formatCode="#,##0" sourceLinked="1"/>
        <c:majorTickMark val="none"/>
        <c:minorTickMark val="none"/>
        <c:tickLblPos val="nextTo"/>
        <c:crossAx val="17977651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Tipping Fees (Virginia Tech)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'Raw Data'!$U$87</c:f>
              <c:strCache>
                <c:ptCount val="1"/>
                <c:pt idx="0">
                  <c:v>Actual</c:v>
                </c:pt>
              </c:strCache>
            </c:strRef>
          </c:tx>
          <c:spPr>
            <a:solidFill>
              <a:schemeClr val="accent1"/>
            </a:solidFill>
            <a:ln>
              <a:noFill/>
            </a:ln>
            <a:effectLst/>
          </c:spPr>
          <c:invertIfNegative val="0"/>
          <c:cat>
            <c:numRef>
              <c:f>'Raw Data'!$T$88:$T$90</c:f>
              <c:numCache>
                <c:formatCode>General</c:formatCode>
                <c:ptCount val="3"/>
                <c:pt idx="0">
                  <c:v>1995</c:v>
                </c:pt>
                <c:pt idx="1">
                  <c:v>1998</c:v>
                </c:pt>
                <c:pt idx="2">
                  <c:v>2016</c:v>
                </c:pt>
              </c:numCache>
            </c:numRef>
          </c:cat>
          <c:val>
            <c:numRef>
              <c:f>'Raw Data'!$U$88:$U$90</c:f>
              <c:numCache>
                <c:formatCode>"$"#,##0.00</c:formatCode>
                <c:ptCount val="3"/>
                <c:pt idx="0">
                  <c:v>24.18</c:v>
                </c:pt>
                <c:pt idx="1">
                  <c:v>16.84</c:v>
                </c:pt>
                <c:pt idx="2">
                  <c:v>42.876666666666665</c:v>
                </c:pt>
              </c:numCache>
            </c:numRef>
          </c:val>
          <c:extLst>
            <c:ext xmlns:c16="http://schemas.microsoft.com/office/drawing/2014/chart" uri="{C3380CC4-5D6E-409C-BE32-E72D297353CC}">
              <c16:uniqueId val="{00000000-0D22-43CB-B7D8-60F42E09AA62}"/>
            </c:ext>
          </c:extLst>
        </c:ser>
        <c:ser>
          <c:idx val="1"/>
          <c:order val="1"/>
          <c:tx>
            <c:strRef>
              <c:f>'Raw Data'!$V$87</c:f>
              <c:strCache>
                <c:ptCount val="1"/>
                <c:pt idx="0">
                  <c:v>Present Value</c:v>
                </c:pt>
              </c:strCache>
            </c:strRef>
          </c:tx>
          <c:spPr>
            <a:solidFill>
              <a:schemeClr val="accent2"/>
            </a:solidFill>
            <a:ln>
              <a:noFill/>
            </a:ln>
            <a:effectLst/>
          </c:spPr>
          <c:invertIfNegative val="0"/>
          <c:cat>
            <c:numRef>
              <c:f>'Raw Data'!$T$88:$T$90</c:f>
              <c:numCache>
                <c:formatCode>General</c:formatCode>
                <c:ptCount val="3"/>
                <c:pt idx="0">
                  <c:v>1995</c:v>
                </c:pt>
                <c:pt idx="1">
                  <c:v>1998</c:v>
                </c:pt>
                <c:pt idx="2">
                  <c:v>2016</c:v>
                </c:pt>
              </c:numCache>
            </c:numRef>
          </c:cat>
          <c:val>
            <c:numRef>
              <c:f>'Raw Data'!$V$88:$V$90</c:f>
              <c:numCache>
                <c:formatCode>"$"#,##0.00</c:formatCode>
                <c:ptCount val="3"/>
                <c:pt idx="0">
                  <c:v>39.71</c:v>
                </c:pt>
                <c:pt idx="1">
                  <c:v>25.72</c:v>
                </c:pt>
                <c:pt idx="2">
                  <c:v>42.876666666666665</c:v>
                </c:pt>
              </c:numCache>
            </c:numRef>
          </c:val>
          <c:extLst>
            <c:ext xmlns:c16="http://schemas.microsoft.com/office/drawing/2014/chart" uri="{C3380CC4-5D6E-409C-BE32-E72D297353CC}">
              <c16:uniqueId val="{00000001-0D22-43CB-B7D8-60F42E09AA62}"/>
            </c:ext>
          </c:extLst>
        </c:ser>
        <c:dLbls>
          <c:showLegendKey val="0"/>
          <c:showVal val="0"/>
          <c:showCatName val="0"/>
          <c:showSerName val="0"/>
          <c:showPercent val="0"/>
          <c:showBubbleSize val="0"/>
        </c:dLbls>
        <c:gapWidth val="219"/>
        <c:overlap val="-27"/>
        <c:axId val="-1484103056"/>
        <c:axId val="-1484110096"/>
      </c:barChart>
      <c:catAx>
        <c:axId val="-14841030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110096"/>
        <c:crosses val="autoZero"/>
        <c:auto val="1"/>
        <c:lblAlgn val="ctr"/>
        <c:lblOffset val="100"/>
        <c:noMultiLvlLbl val="0"/>
      </c:catAx>
      <c:valAx>
        <c:axId val="-14841100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USD</a:t>
                </a:r>
                <a:r>
                  <a:rPr lang="en-US" baseline="0"/>
                  <a:t>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103056"/>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'Raw Data'!$BE$75</c:f>
              <c:strCache>
                <c:ptCount val="1"/>
                <c:pt idx="0">
                  <c:v>Operating Wood Pallet Recovery Area</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Data'!$BD$76:$BD$78</c:f>
              <c:numCache>
                <c:formatCode>General</c:formatCode>
                <c:ptCount val="3"/>
                <c:pt idx="0">
                  <c:v>1995</c:v>
                </c:pt>
                <c:pt idx="1">
                  <c:v>1998</c:v>
                </c:pt>
                <c:pt idx="2">
                  <c:v>2016</c:v>
                </c:pt>
              </c:numCache>
            </c:numRef>
          </c:cat>
          <c:val>
            <c:numRef>
              <c:f>'Raw Data'!$BE$76:$BE$78</c:f>
              <c:numCache>
                <c:formatCode>0.00%</c:formatCode>
                <c:ptCount val="3"/>
                <c:pt idx="0">
                  <c:v>0.32</c:v>
                </c:pt>
                <c:pt idx="1">
                  <c:v>0.27</c:v>
                </c:pt>
                <c:pt idx="2">
                  <c:v>0.45161290322580644</c:v>
                </c:pt>
              </c:numCache>
            </c:numRef>
          </c:val>
          <c:extLst>
            <c:ext xmlns:c16="http://schemas.microsoft.com/office/drawing/2014/chart" uri="{C3380CC4-5D6E-409C-BE32-E72D297353CC}">
              <c16:uniqueId val="{00000000-CD9F-463B-B697-ACCD687FDD1B}"/>
            </c:ext>
          </c:extLst>
        </c:ser>
        <c:dLbls>
          <c:showLegendKey val="0"/>
          <c:showVal val="0"/>
          <c:showCatName val="0"/>
          <c:showSerName val="0"/>
          <c:showPercent val="0"/>
          <c:showBubbleSize val="0"/>
        </c:dLbls>
        <c:gapWidth val="219"/>
        <c:overlap val="-27"/>
        <c:axId val="-1484253504"/>
        <c:axId val="-1484258528"/>
      </c:barChart>
      <c:catAx>
        <c:axId val="-1484253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258528"/>
        <c:crosses val="autoZero"/>
        <c:auto val="1"/>
        <c:lblAlgn val="ctr"/>
        <c:lblOffset val="100"/>
        <c:noMultiLvlLbl val="0"/>
      </c:catAx>
      <c:valAx>
        <c:axId val="-14842585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t>
                </a:r>
                <a:r>
                  <a:rPr lang="en-US" baseline="0"/>
                  <a:t> Operating %</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48425350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'Raw Data'!$AJ$75:$AO$75</c:f>
              <c:strCache>
                <c:ptCount val="6"/>
                <c:pt idx="0">
                  <c:v>Yard and Land Clearing Debris</c:v>
                </c:pt>
                <c:pt idx="1">
                  <c:v>Residential C&amp;D Wood Waste</c:v>
                </c:pt>
                <c:pt idx="2">
                  <c:v>Industrial C&amp;D Wood Waste</c:v>
                </c:pt>
                <c:pt idx="3">
                  <c:v>Treated Wood</c:v>
                </c:pt>
                <c:pt idx="4">
                  <c:v>Wood Pallets and Crates</c:v>
                </c:pt>
                <c:pt idx="5">
                  <c:v>Other</c:v>
                </c:pt>
              </c:strCache>
            </c:strRef>
          </c:cat>
          <c:val>
            <c:numRef>
              <c:f>'Raw Data'!$AJ$76:$AO$76</c:f>
              <c:numCache>
                <c:formatCode>#,##0</c:formatCode>
                <c:ptCount val="6"/>
                <c:pt idx="0">
                  <c:v>1367.2995795483555</c:v>
                </c:pt>
                <c:pt idx="1">
                  <c:v>1411.1160360112983</c:v>
                </c:pt>
                <c:pt idx="2">
                  <c:v>2596.1934628679178</c:v>
                </c:pt>
                <c:pt idx="3">
                  <c:v>81.909010209790949</c:v>
                </c:pt>
                <c:pt idx="4">
                  <c:v>323.50532722384037</c:v>
                </c:pt>
                <c:pt idx="5">
                  <c:v>18.985540533454522</c:v>
                </c:pt>
              </c:numCache>
            </c:numRef>
          </c:val>
          <c:extLst>
            <c:ext xmlns:c16="http://schemas.microsoft.com/office/drawing/2014/chart" uri="{C3380CC4-5D6E-409C-BE32-E72D297353CC}">
              <c16:uniqueId val="{00000000-974D-774E-B263-581C838907E5}"/>
            </c:ext>
          </c:extLst>
        </c:ser>
        <c:dLbls>
          <c:dLblPos val="outEnd"/>
          <c:showLegendKey val="0"/>
          <c:showVal val="1"/>
          <c:showCatName val="0"/>
          <c:showSerName val="0"/>
          <c:showPercent val="0"/>
          <c:showBubbleSize val="0"/>
        </c:dLbls>
        <c:gapWidth val="219"/>
        <c:overlap val="-27"/>
        <c:axId val="1715526656"/>
        <c:axId val="1715528352"/>
      </c:barChart>
      <c:catAx>
        <c:axId val="1715526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5528352"/>
        <c:crosses val="autoZero"/>
        <c:auto val="1"/>
        <c:lblAlgn val="ctr"/>
        <c:lblOffset val="100"/>
        <c:noMultiLvlLbl val="0"/>
      </c:catAx>
      <c:valAx>
        <c:axId val="17155283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Tonnage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5526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'Raw Data'!$AE$84</c:f>
              <c:strCache>
                <c:ptCount val="1"/>
                <c:pt idx="0">
                  <c:v>Total C&amp;D Pallets Landfilled</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Data'!$AD$85:$AD$88</c:f>
              <c:numCache>
                <c:formatCode>General</c:formatCode>
                <c:ptCount val="4"/>
                <c:pt idx="0">
                  <c:v>1995</c:v>
                </c:pt>
                <c:pt idx="1">
                  <c:v>1998</c:v>
                </c:pt>
                <c:pt idx="2">
                  <c:v>2016</c:v>
                </c:pt>
              </c:numCache>
            </c:numRef>
          </c:cat>
          <c:val>
            <c:numRef>
              <c:f>'Raw Data'!$AE$85:$AE$88</c:f>
              <c:numCache>
                <c:formatCode>#,##0</c:formatCode>
                <c:ptCount val="4"/>
                <c:pt idx="0">
                  <c:v>32690000</c:v>
                </c:pt>
                <c:pt idx="1">
                  <c:v>40484000</c:v>
                </c:pt>
                <c:pt idx="2">
                  <c:v>12222619.454020733</c:v>
                </c:pt>
              </c:numCache>
            </c:numRef>
          </c:val>
          <c:extLst>
            <c:ext xmlns:c16="http://schemas.microsoft.com/office/drawing/2014/chart" uri="{C3380CC4-5D6E-409C-BE32-E72D297353CC}">
              <c16:uniqueId val="{00000000-C99A-BE4C-AEEC-0D911572DBC7}"/>
            </c:ext>
          </c:extLst>
        </c:ser>
        <c:dLbls>
          <c:showLegendKey val="0"/>
          <c:showVal val="0"/>
          <c:showCatName val="0"/>
          <c:showSerName val="0"/>
          <c:showPercent val="0"/>
          <c:showBubbleSize val="0"/>
        </c:dLbls>
        <c:gapWidth val="219"/>
        <c:overlap val="-27"/>
        <c:axId val="1779946720"/>
        <c:axId val="1779859952"/>
      </c:barChart>
      <c:catAx>
        <c:axId val="17799467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9859952"/>
        <c:crosses val="autoZero"/>
        <c:auto val="1"/>
        <c:lblAlgn val="ctr"/>
        <c:lblOffset val="100"/>
        <c:noMultiLvlLbl val="0"/>
      </c:catAx>
      <c:valAx>
        <c:axId val="1779859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a:t>
                </a:r>
                <a:r>
                  <a:rPr lang="en-US" baseline="0"/>
                  <a:t> of Pallets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99467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pieChart>
        <c:varyColors val="1"/>
        <c:ser>
          <c:idx val="0"/>
          <c:order val="0"/>
          <c:dPt>
            <c:idx val="0"/>
            <c:bubble3D val="0"/>
            <c:spPr>
              <a:solidFill>
                <a:schemeClr val="accent2">
                  <a:shade val="53000"/>
                </a:schemeClr>
              </a:solidFill>
              <a:ln w="19050">
                <a:solidFill>
                  <a:schemeClr val="lt1"/>
                </a:solidFill>
              </a:ln>
              <a:effectLst/>
            </c:spPr>
            <c:extLst>
              <c:ext xmlns:c16="http://schemas.microsoft.com/office/drawing/2014/chart" uri="{C3380CC4-5D6E-409C-BE32-E72D297353CC}">
                <c16:uniqueId val="{00000001-F178-2A41-86AA-F7FB121C107E}"/>
              </c:ext>
            </c:extLst>
          </c:dPt>
          <c:dPt>
            <c:idx val="1"/>
            <c:bubble3D val="0"/>
            <c:spPr>
              <a:solidFill>
                <a:schemeClr val="accent2">
                  <a:shade val="76000"/>
                </a:schemeClr>
              </a:solidFill>
              <a:ln w="19050">
                <a:solidFill>
                  <a:schemeClr val="lt1"/>
                </a:solidFill>
              </a:ln>
              <a:effectLst/>
            </c:spPr>
            <c:extLst>
              <c:ext xmlns:c16="http://schemas.microsoft.com/office/drawing/2014/chart" uri="{C3380CC4-5D6E-409C-BE32-E72D297353CC}">
                <c16:uniqueId val="{00000003-F178-2A41-86AA-F7FB121C107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78-2A41-86AA-F7FB121C107E}"/>
              </c:ext>
            </c:extLst>
          </c:dPt>
          <c:dPt>
            <c:idx val="3"/>
            <c:bubble3D val="0"/>
            <c:spPr>
              <a:solidFill>
                <a:schemeClr val="accent2">
                  <a:tint val="77000"/>
                </a:schemeClr>
              </a:solidFill>
              <a:ln w="19050">
                <a:solidFill>
                  <a:schemeClr val="lt1"/>
                </a:solidFill>
              </a:ln>
              <a:effectLst/>
            </c:spPr>
            <c:extLst>
              <c:ext xmlns:c16="http://schemas.microsoft.com/office/drawing/2014/chart" uri="{C3380CC4-5D6E-409C-BE32-E72D297353CC}">
                <c16:uniqueId val="{00000007-F178-2A41-86AA-F7FB121C107E}"/>
              </c:ext>
            </c:extLst>
          </c:dPt>
          <c:dPt>
            <c:idx val="4"/>
            <c:bubble3D val="0"/>
            <c:spPr>
              <a:solidFill>
                <a:schemeClr val="accent2">
                  <a:tint val="54000"/>
                </a:schemeClr>
              </a:solidFill>
              <a:ln w="19050">
                <a:solidFill>
                  <a:schemeClr val="lt1"/>
                </a:solidFill>
              </a:ln>
              <a:effectLst/>
            </c:spPr>
            <c:extLst>
              <c:ext xmlns:c16="http://schemas.microsoft.com/office/drawing/2014/chart" uri="{C3380CC4-5D6E-409C-BE32-E72D297353CC}">
                <c16:uniqueId val="{00000009-F178-2A41-86AA-F7FB121C107E}"/>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estFit"/>
            <c:showLegendKey val="0"/>
            <c:showVal val="1"/>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'Raw Data'!$BL$79:$BP$79</c:f>
              <c:strCache>
                <c:ptCount val="5"/>
                <c:pt idx="0">
                  <c:v>Yard and Land Clearing Wood Debris</c:v>
                </c:pt>
                <c:pt idx="1">
                  <c:v>Residential C&amp;D Wood</c:v>
                </c:pt>
                <c:pt idx="2">
                  <c:v>Industrial C&amp;D Wood </c:v>
                </c:pt>
                <c:pt idx="3">
                  <c:v>Wood Pallets and Crates</c:v>
                </c:pt>
                <c:pt idx="4">
                  <c:v>Other</c:v>
                </c:pt>
              </c:strCache>
            </c:strRef>
          </c:cat>
          <c:val>
            <c:numRef>
              <c:f>'Raw Data'!$BL$80:$BP$80</c:f>
              <c:numCache>
                <c:formatCode>#,##0</c:formatCode>
                <c:ptCount val="5"/>
                <c:pt idx="0">
                  <c:v>19393.297177721</c:v>
                </c:pt>
                <c:pt idx="1">
                  <c:v>1131.7478754062142</c:v>
                </c:pt>
                <c:pt idx="2">
                  <c:v>1618.8423136280687</c:v>
                </c:pt>
                <c:pt idx="3">
                  <c:v>659.02643672207876</c:v>
                </c:pt>
                <c:pt idx="4">
                  <c:v>0.48083219802575128</c:v>
                </c:pt>
              </c:numCache>
            </c:numRef>
          </c:val>
          <c:extLst>
            <c:ext xmlns:c16="http://schemas.microsoft.com/office/drawing/2014/chart" uri="{C3380CC4-5D6E-409C-BE32-E72D297353CC}">
              <c16:uniqueId val="{00000000-7ECC-D64C-8CD3-49421C19DFF5}"/>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Data'!$BO$103:$BO$105</c:f>
              <c:numCache>
                <c:formatCode>General</c:formatCode>
                <c:ptCount val="3"/>
                <c:pt idx="0">
                  <c:v>1995</c:v>
                </c:pt>
                <c:pt idx="1">
                  <c:v>1998</c:v>
                </c:pt>
                <c:pt idx="2">
                  <c:v>2016</c:v>
                </c:pt>
              </c:numCache>
            </c:numRef>
          </c:cat>
          <c:val>
            <c:numRef>
              <c:f>'Raw Data'!$BP$103:$BP$105</c:f>
              <c:numCache>
                <c:formatCode>#,##0</c:formatCode>
                <c:ptCount val="3"/>
                <c:pt idx="0">
                  <c:v>9109</c:v>
                </c:pt>
                <c:pt idx="1">
                  <c:v>11834</c:v>
                </c:pt>
                <c:pt idx="2">
                  <c:v>22803</c:v>
                </c:pt>
              </c:numCache>
            </c:numRef>
          </c:val>
          <c:extLst>
            <c:ext xmlns:c16="http://schemas.microsoft.com/office/drawing/2014/chart" uri="{C3380CC4-5D6E-409C-BE32-E72D297353CC}">
              <c16:uniqueId val="{00000000-1612-E242-8A1C-7B9F4E4FCF07}"/>
            </c:ext>
          </c:extLst>
        </c:ser>
        <c:dLbls>
          <c:dLblPos val="outEnd"/>
          <c:showLegendKey val="0"/>
          <c:showVal val="1"/>
          <c:showCatName val="0"/>
          <c:showSerName val="0"/>
          <c:showPercent val="0"/>
          <c:showBubbleSize val="0"/>
        </c:dLbls>
        <c:gapWidth val="219"/>
        <c:overlap val="-27"/>
        <c:axId val="1797582576"/>
        <c:axId val="1797628480"/>
      </c:barChart>
      <c:catAx>
        <c:axId val="1797582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97628480"/>
        <c:crosses val="autoZero"/>
        <c:auto val="1"/>
        <c:lblAlgn val="ctr"/>
        <c:lblOffset val="100"/>
        <c:noMultiLvlLbl val="0"/>
      </c:catAx>
      <c:valAx>
        <c:axId val="179762848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r>
                  <a:rPr lang="en-US" b="1"/>
                  <a:t>Tonnage</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7582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hart>
    <c:autoTitleDeleted val="1"/>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Data'!$BM$124:$BM$126</c:f>
              <c:numCache>
                <c:formatCode>General</c:formatCode>
                <c:ptCount val="3"/>
                <c:pt idx="0">
                  <c:v>1995</c:v>
                </c:pt>
                <c:pt idx="1">
                  <c:v>1998</c:v>
                </c:pt>
                <c:pt idx="2">
                  <c:v>2016</c:v>
                </c:pt>
              </c:numCache>
            </c:numRef>
          </c:cat>
          <c:val>
            <c:numRef>
              <c:f>'Raw Data'!$BN$124:$BN$126</c:f>
              <c:numCache>
                <c:formatCode>#,##0</c:formatCode>
                <c:ptCount val="3"/>
                <c:pt idx="0">
                  <c:v>619323</c:v>
                </c:pt>
                <c:pt idx="1">
                  <c:v>3560000</c:v>
                </c:pt>
                <c:pt idx="2">
                  <c:v>23692317</c:v>
                </c:pt>
              </c:numCache>
            </c:numRef>
          </c:val>
          <c:extLst>
            <c:ext xmlns:c16="http://schemas.microsoft.com/office/drawing/2014/chart" uri="{C3380CC4-5D6E-409C-BE32-E72D297353CC}">
              <c16:uniqueId val="{00000000-958F-2442-A480-0BE301F63A48}"/>
            </c:ext>
          </c:extLst>
        </c:ser>
        <c:dLbls>
          <c:dLblPos val="outEnd"/>
          <c:showLegendKey val="0"/>
          <c:showVal val="1"/>
          <c:showCatName val="0"/>
          <c:showSerName val="0"/>
          <c:showPercent val="0"/>
          <c:showBubbleSize val="0"/>
        </c:dLbls>
        <c:gapWidth val="219"/>
        <c:overlap val="-27"/>
        <c:axId val="1779019728"/>
        <c:axId val="1779382976"/>
      </c:barChart>
      <c:catAx>
        <c:axId val="17790197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1779382976"/>
        <c:crosses val="autoZero"/>
        <c:auto val="1"/>
        <c:lblAlgn val="ctr"/>
        <c:lblOffset val="100"/>
        <c:noMultiLvlLbl val="0"/>
      </c:catAx>
      <c:valAx>
        <c:axId val="17793829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r>
                  <a:rPr lang="en-US" sz="1100" b="1"/>
                  <a:t>Tonnage</a:t>
                </a:r>
              </a:p>
            </c:rich>
          </c:tx>
          <c:overlay val="0"/>
          <c:spPr>
            <a:noFill/>
            <a:ln>
              <a:noFill/>
            </a:ln>
            <a:effectLst/>
          </c:spPr>
          <c:txPr>
            <a:bodyPr rot="-54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790197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'Raw Data'!$BK$145:$BK$147</c:f>
              <c:numCache>
                <c:formatCode>General</c:formatCode>
                <c:ptCount val="3"/>
                <c:pt idx="0">
                  <c:v>1995</c:v>
                </c:pt>
                <c:pt idx="1">
                  <c:v>1998</c:v>
                </c:pt>
                <c:pt idx="2">
                  <c:v>2016</c:v>
                </c:pt>
              </c:numCache>
            </c:numRef>
          </c:cat>
          <c:val>
            <c:numRef>
              <c:f>'Raw Data'!$BL$145:$BL$147</c:f>
              <c:numCache>
                <c:formatCode>#,##0</c:formatCode>
                <c:ptCount val="3"/>
                <c:pt idx="0">
                  <c:v>5887300</c:v>
                </c:pt>
                <c:pt idx="1">
                  <c:v>15904000</c:v>
                </c:pt>
                <c:pt idx="2">
                  <c:v>24899217.009245083</c:v>
                </c:pt>
              </c:numCache>
            </c:numRef>
          </c:val>
          <c:extLst>
            <c:ext xmlns:c16="http://schemas.microsoft.com/office/drawing/2014/chart" uri="{C3380CC4-5D6E-409C-BE32-E72D297353CC}">
              <c16:uniqueId val="{00000000-C831-AB4E-8E69-56984F894896}"/>
            </c:ext>
          </c:extLst>
        </c:ser>
        <c:dLbls>
          <c:dLblPos val="outEnd"/>
          <c:showLegendKey val="0"/>
          <c:showVal val="1"/>
          <c:showCatName val="0"/>
          <c:showSerName val="0"/>
          <c:showPercent val="0"/>
          <c:showBubbleSize val="0"/>
        </c:dLbls>
        <c:gapWidth val="219"/>
        <c:overlap val="-27"/>
        <c:axId val="1799139984"/>
        <c:axId val="1821202384"/>
      </c:barChart>
      <c:catAx>
        <c:axId val="17991399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21202384"/>
        <c:crosses val="autoZero"/>
        <c:auto val="1"/>
        <c:lblAlgn val="ctr"/>
        <c:lblOffset val="100"/>
        <c:noMultiLvlLbl val="0"/>
      </c:catAx>
      <c:valAx>
        <c:axId val="182120238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Number of</a:t>
                </a:r>
                <a:r>
                  <a:rPr lang="en-US" baseline="0"/>
                  <a:t> Pallets</a:t>
                </a:r>
                <a:endParaRPr lang="en-US"/>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991399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5">
  <a:schemeClr val="accent2"/>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withinLinear" id="15">
  <a:schemeClr val="accent2"/>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withinLinear" id="15">
  <a:schemeClr val="accent2"/>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98">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lt1"/>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18</xdr:col>
      <xdr:colOff>481219</xdr:colOff>
      <xdr:row>79</xdr:row>
      <xdr:rowOff>114715</xdr:rowOff>
    </xdr:from>
    <xdr:to>
      <xdr:col>23</xdr:col>
      <xdr:colOff>420205</xdr:colOff>
      <xdr:row>94</xdr:row>
      <xdr:rowOff>105053</xdr:rowOff>
    </xdr:to>
    <xdr:graphicFrame macro="">
      <xdr:nvGraphicFramePr>
        <xdr:cNvPr id="5" name="Chart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17</xdr:col>
      <xdr:colOff>666750</xdr:colOff>
      <xdr:row>95</xdr:row>
      <xdr:rowOff>142875</xdr:rowOff>
    </xdr:from>
    <xdr:to>
      <xdr:col>22</xdr:col>
      <xdr:colOff>1257300</xdr:colOff>
      <xdr:row>110</xdr:row>
      <xdr:rowOff>123825</xdr:rowOff>
    </xdr:to>
    <xdr:graphicFrame macro="">
      <xdr:nvGraphicFramePr>
        <xdr:cNvPr id="6" name="Chart 5">
          <a:extLst>
            <a:ext uri="{FF2B5EF4-FFF2-40B4-BE49-F238E27FC236}">
              <a16:creationId xmlns:a16="http://schemas.microsoft.com/office/drawing/2014/main" id="{00000000-0008-0000-01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55</xdr:col>
      <xdr:colOff>479425</xdr:colOff>
      <xdr:row>80</xdr:row>
      <xdr:rowOff>34925</xdr:rowOff>
    </xdr:from>
    <xdr:to>
      <xdr:col>57</xdr:col>
      <xdr:colOff>676275</xdr:colOff>
      <xdr:row>95</xdr:row>
      <xdr:rowOff>3175</xdr:rowOff>
    </xdr:to>
    <xdr:graphicFrame macro="">
      <xdr:nvGraphicFramePr>
        <xdr:cNvPr id="12" name="Chart 11">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36</xdr:col>
      <xdr:colOff>679174</xdr:colOff>
      <xdr:row>76</xdr:row>
      <xdr:rowOff>168965</xdr:rowOff>
    </xdr:from>
    <xdr:to>
      <xdr:col>40</xdr:col>
      <xdr:colOff>668131</xdr:colOff>
      <xdr:row>91</xdr:row>
      <xdr:rowOff>29818</xdr:rowOff>
    </xdr:to>
    <xdr:graphicFrame macro="">
      <xdr:nvGraphicFramePr>
        <xdr:cNvPr id="2" name="Chart 1">
          <a:extLst>
            <a:ext uri="{FF2B5EF4-FFF2-40B4-BE49-F238E27FC236}">
              <a16:creationId xmlns:a16="http://schemas.microsoft.com/office/drawing/2014/main" id="{ECD4DCE7-B598-AD4D-8A87-7CD93B1BD5C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30</xdr:col>
      <xdr:colOff>877957</xdr:colOff>
      <xdr:row>91</xdr:row>
      <xdr:rowOff>102705</xdr:rowOff>
    </xdr:from>
    <xdr:to>
      <xdr:col>34</xdr:col>
      <xdr:colOff>877957</xdr:colOff>
      <xdr:row>106</xdr:row>
      <xdr:rowOff>29818</xdr:rowOff>
    </xdr:to>
    <xdr:graphicFrame macro="">
      <xdr:nvGraphicFramePr>
        <xdr:cNvPr id="3" name="Chart 2">
          <a:extLst>
            <a:ext uri="{FF2B5EF4-FFF2-40B4-BE49-F238E27FC236}">
              <a16:creationId xmlns:a16="http://schemas.microsoft.com/office/drawing/2014/main" id="{787B64BB-2ADA-F543-A3CF-F96DBB2BD5F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62</xdr:col>
      <xdr:colOff>193261</xdr:colOff>
      <xdr:row>81</xdr:row>
      <xdr:rowOff>146878</xdr:rowOff>
    </xdr:from>
    <xdr:to>
      <xdr:col>66</xdr:col>
      <xdr:colOff>60740</xdr:colOff>
      <xdr:row>96</xdr:row>
      <xdr:rowOff>51904</xdr:rowOff>
    </xdr:to>
    <xdr:graphicFrame macro="">
      <xdr:nvGraphicFramePr>
        <xdr:cNvPr id="4" name="Chart 3">
          <a:extLst>
            <a:ext uri="{FF2B5EF4-FFF2-40B4-BE49-F238E27FC236}">
              <a16:creationId xmlns:a16="http://schemas.microsoft.com/office/drawing/2014/main" id="{2A2CD6F0-794D-B24C-8860-7E068C048A4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66</xdr:col>
      <xdr:colOff>220869</xdr:colOff>
      <xdr:row>84</xdr:row>
      <xdr:rowOff>102705</xdr:rowOff>
    </xdr:from>
    <xdr:to>
      <xdr:col>69</xdr:col>
      <xdr:colOff>717825</xdr:colOff>
      <xdr:row>99</xdr:row>
      <xdr:rowOff>18774</xdr:rowOff>
    </xdr:to>
    <xdr:graphicFrame macro="">
      <xdr:nvGraphicFramePr>
        <xdr:cNvPr id="8" name="Chart 7">
          <a:extLst>
            <a:ext uri="{FF2B5EF4-FFF2-40B4-BE49-F238E27FC236}">
              <a16:creationId xmlns:a16="http://schemas.microsoft.com/office/drawing/2014/main" id="{E109392F-554B-334F-9A1C-16B7F06DE83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63</xdr:col>
      <xdr:colOff>143565</xdr:colOff>
      <xdr:row>105</xdr:row>
      <xdr:rowOff>180009</xdr:rowOff>
    </xdr:from>
    <xdr:to>
      <xdr:col>67</xdr:col>
      <xdr:colOff>55217</xdr:colOff>
      <xdr:row>120</xdr:row>
      <xdr:rowOff>107122</xdr:rowOff>
    </xdr:to>
    <xdr:graphicFrame macro="">
      <xdr:nvGraphicFramePr>
        <xdr:cNvPr id="10" name="Chart 9">
          <a:extLst>
            <a:ext uri="{FF2B5EF4-FFF2-40B4-BE49-F238E27FC236}">
              <a16:creationId xmlns:a16="http://schemas.microsoft.com/office/drawing/2014/main" id="{A0BA5C94-F2A4-354B-9FD9-613DB33595D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62</xdr:col>
      <xdr:colOff>596348</xdr:colOff>
      <xdr:row>126</xdr:row>
      <xdr:rowOff>180009</xdr:rowOff>
    </xdr:from>
    <xdr:to>
      <xdr:col>66</xdr:col>
      <xdr:colOff>463827</xdr:colOff>
      <xdr:row>141</xdr:row>
      <xdr:rowOff>107122</xdr:rowOff>
    </xdr:to>
    <xdr:graphicFrame macro="">
      <xdr:nvGraphicFramePr>
        <xdr:cNvPr id="23" name="Chart 22">
          <a:extLst>
            <a:ext uri="{FF2B5EF4-FFF2-40B4-BE49-F238E27FC236}">
              <a16:creationId xmlns:a16="http://schemas.microsoft.com/office/drawing/2014/main" id="{DEC24861-6EA2-4D4D-8499-E03090F522B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62</xdr:col>
      <xdr:colOff>88347</xdr:colOff>
      <xdr:row>152</xdr:row>
      <xdr:rowOff>11043</xdr:rowOff>
    </xdr:from>
    <xdr:to>
      <xdr:col>66</xdr:col>
      <xdr:colOff>508000</xdr:colOff>
      <xdr:row>168</xdr:row>
      <xdr:rowOff>73991</xdr:rowOff>
    </xdr:to>
    <xdr:graphicFrame macro="">
      <xdr:nvGraphicFramePr>
        <xdr:cNvPr id="26" name="Chart 25">
          <a:extLst>
            <a:ext uri="{FF2B5EF4-FFF2-40B4-BE49-F238E27FC236}">
              <a16:creationId xmlns:a16="http://schemas.microsoft.com/office/drawing/2014/main" id="{95C79E43-2E15-704D-BC1F-9FF6646C8C6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7.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H85"/>
  <sheetViews>
    <sheetView topLeftCell="A15" workbookViewId="0">
      <selection activeCell="E29" sqref="E29"/>
    </sheetView>
  </sheetViews>
  <sheetFormatPr baseColWidth="10" defaultColWidth="8.83203125" defaultRowHeight="15" x14ac:dyDescent="0.2"/>
  <cols>
    <col min="2" max="2" width="48.6640625" bestFit="1" customWidth="1"/>
    <col min="3" max="3" width="10.83203125" bestFit="1" customWidth="1"/>
    <col min="4" max="4" width="21.33203125" bestFit="1" customWidth="1"/>
  </cols>
  <sheetData>
    <row r="2" spans="1:5" x14ac:dyDescent="0.2">
      <c r="C2" t="s">
        <v>307</v>
      </c>
      <c r="D2" t="s">
        <v>318</v>
      </c>
    </row>
    <row r="3" spans="1:5" x14ac:dyDescent="0.2">
      <c r="A3" t="s">
        <v>319</v>
      </c>
      <c r="B3" s="157" t="s">
        <v>317</v>
      </c>
      <c r="C3" s="1">
        <f>'Raw Data'!F66</f>
        <v>74911.461451612893</v>
      </c>
      <c r="D3">
        <f>'Raw Data'!F68</f>
        <v>62</v>
      </c>
    </row>
    <row r="4" spans="1:5" x14ac:dyDescent="0.2">
      <c r="B4" s="160" t="s">
        <v>338</v>
      </c>
      <c r="C4" s="1"/>
    </row>
    <row r="5" spans="1:5" x14ac:dyDescent="0.2">
      <c r="B5" s="160" t="s">
        <v>341</v>
      </c>
      <c r="C5" s="1"/>
    </row>
    <row r="6" spans="1:5" x14ac:dyDescent="0.2">
      <c r="B6" s="160" t="s">
        <v>340</v>
      </c>
      <c r="C6" s="1"/>
    </row>
    <row r="7" spans="1:5" x14ac:dyDescent="0.2">
      <c r="B7" s="160" t="s">
        <v>339</v>
      </c>
      <c r="C7" s="1"/>
    </row>
    <row r="8" spans="1:5" s="66" customFormat="1" x14ac:dyDescent="0.2">
      <c r="A8" s="66" t="s">
        <v>233</v>
      </c>
      <c r="B8" s="161" t="s">
        <v>320</v>
      </c>
      <c r="C8" s="66" t="s">
        <v>307</v>
      </c>
      <c r="D8" s="66" t="s">
        <v>318</v>
      </c>
    </row>
    <row r="9" spans="1:5" x14ac:dyDescent="0.2">
      <c r="B9" t="s">
        <v>321</v>
      </c>
      <c r="C9" s="80">
        <f>(C13/$C$18)</f>
        <v>7.8929043933341173E-2</v>
      </c>
      <c r="D9">
        <f>'Raw Data'!$O$68</f>
        <v>47</v>
      </c>
      <c r="E9" s="159">
        <f>$C$3*C9</f>
        <v>5912.690032025148</v>
      </c>
    </row>
    <row r="10" spans="1:5" x14ac:dyDescent="0.2">
      <c r="B10" t="s">
        <v>322</v>
      </c>
      <c r="C10" s="80">
        <f t="shared" ref="C10:C12" si="0">(C14/$C$18)</f>
        <v>0.55371292388111604</v>
      </c>
      <c r="D10">
        <f>'Raw Data'!$P$68</f>
        <v>48</v>
      </c>
      <c r="E10" s="159">
        <f t="shared" ref="E10:E12" si="1">$C$3*C10</f>
        <v>41479.444352580089</v>
      </c>
    </row>
    <row r="11" spans="1:5" x14ac:dyDescent="0.2">
      <c r="B11" t="s">
        <v>323</v>
      </c>
      <c r="C11" s="80">
        <f t="shared" si="0"/>
        <v>0.30390593848461012</v>
      </c>
      <c r="D11">
        <f>'Raw Data'!$Q$68</f>
        <v>48</v>
      </c>
      <c r="E11" s="159">
        <f t="shared" si="1"/>
        <v>22766.037995706109</v>
      </c>
    </row>
    <row r="12" spans="1:5" x14ac:dyDescent="0.2">
      <c r="B12" t="s">
        <v>324</v>
      </c>
      <c r="C12" s="80">
        <f t="shared" si="0"/>
        <v>6.345209370093273E-2</v>
      </c>
      <c r="D12">
        <f>'Raw Data'!$R$68</f>
        <v>48</v>
      </c>
      <c r="E12" s="159">
        <f t="shared" si="1"/>
        <v>4753.2890713015513</v>
      </c>
    </row>
    <row r="13" spans="1:5" x14ac:dyDescent="0.2">
      <c r="B13" t="s">
        <v>325</v>
      </c>
      <c r="C13" s="159">
        <f>'Raw Data'!$O$66</f>
        <v>5403.2447791128561</v>
      </c>
      <c r="D13">
        <f>'Raw Data'!$R$68</f>
        <v>48</v>
      </c>
      <c r="E13" s="159"/>
    </row>
    <row r="14" spans="1:5" x14ac:dyDescent="0.2">
      <c r="B14" t="s">
        <v>326</v>
      </c>
      <c r="C14" s="159">
        <f>'Raw Data'!$P$66</f>
        <v>37905.520148130665</v>
      </c>
      <c r="D14">
        <f>'Raw Data'!$R$68</f>
        <v>48</v>
      </c>
    </row>
    <row r="15" spans="1:5" x14ac:dyDescent="0.2">
      <c r="B15" t="s">
        <v>327</v>
      </c>
      <c r="C15" s="159">
        <f>'Raw Data'!$Q$66</f>
        <v>20804.485822039918</v>
      </c>
      <c r="D15">
        <f>'Raw Data'!$R$68</f>
        <v>48</v>
      </c>
    </row>
    <row r="16" spans="1:5" x14ac:dyDescent="0.2">
      <c r="B16" t="s">
        <v>328</v>
      </c>
      <c r="C16" s="159">
        <f>'Raw Data'!$R$66</f>
        <v>4343.739350281413</v>
      </c>
      <c r="D16">
        <f>'Raw Data'!$R$68</f>
        <v>48</v>
      </c>
    </row>
    <row r="18" spans="1:8" x14ac:dyDescent="0.2">
      <c r="B18" t="s">
        <v>311</v>
      </c>
      <c r="C18" s="1">
        <f>SUM(C13:C16)</f>
        <v>68456.99009956485</v>
      </c>
    </row>
    <row r="19" spans="1:8" s="66" customFormat="1" x14ac:dyDescent="0.2">
      <c r="A19" s="66" t="s">
        <v>242</v>
      </c>
      <c r="B19" s="161" t="s">
        <v>329</v>
      </c>
    </row>
    <row r="20" spans="1:8" x14ac:dyDescent="0.2">
      <c r="B20" t="s">
        <v>345</v>
      </c>
      <c r="C20" s="158">
        <f>'Raw Data'!T66</f>
        <v>42.876666666666665</v>
      </c>
      <c r="D20">
        <f>'Raw Data'!T68</f>
        <v>42</v>
      </c>
    </row>
    <row r="21" spans="1:8" x14ac:dyDescent="0.2">
      <c r="B21" t="s">
        <v>344</v>
      </c>
      <c r="C21" s="158">
        <f>'Raw Data'!U66</f>
        <v>37.697142857142858</v>
      </c>
      <c r="D21">
        <f>'Raw Data'!U68</f>
        <v>28</v>
      </c>
    </row>
    <row r="22" spans="1:8" x14ac:dyDescent="0.2">
      <c r="B22" t="s">
        <v>347</v>
      </c>
      <c r="C22" s="158">
        <f>'Raw Data'!V66</f>
        <v>28.78896551724138</v>
      </c>
      <c r="D22">
        <f>'Raw Data'!V68</f>
        <v>29</v>
      </c>
    </row>
    <row r="23" spans="1:8" x14ac:dyDescent="0.2">
      <c r="B23" t="s">
        <v>346</v>
      </c>
      <c r="C23" s="158">
        <f>'Raw Data'!W66</f>
        <v>29.799130434782608</v>
      </c>
      <c r="D23">
        <f>'Raw Data'!W68</f>
        <v>23</v>
      </c>
    </row>
    <row r="24" spans="1:8" s="161" customFormat="1" x14ac:dyDescent="0.2">
      <c r="A24" s="161" t="s">
        <v>248</v>
      </c>
      <c r="B24" s="161" t="s">
        <v>348</v>
      </c>
      <c r="D24" s="161" t="s">
        <v>141</v>
      </c>
      <c r="E24" s="161" t="s">
        <v>152</v>
      </c>
      <c r="F24" s="161" t="s">
        <v>351</v>
      </c>
    </row>
    <row r="25" spans="1:8" x14ac:dyDescent="0.2">
      <c r="B25" t="s">
        <v>349</v>
      </c>
      <c r="D25">
        <f>'Raw Data'!Z70</f>
        <v>48</v>
      </c>
      <c r="E25">
        <f>'Raw Data'!Z71</f>
        <v>7</v>
      </c>
      <c r="F25" s="80">
        <f>'Raw Data'!Z72</f>
        <v>0.87272727272727268</v>
      </c>
    </row>
    <row r="26" spans="1:8" x14ac:dyDescent="0.2">
      <c r="B26" t="s">
        <v>350</v>
      </c>
      <c r="D26">
        <f>'Raw Data'!AA70</f>
        <v>39</v>
      </c>
      <c r="E26">
        <f>'Raw Data'!AA71</f>
        <v>9</v>
      </c>
      <c r="F26" s="80">
        <f>'Raw Data'!AA72</f>
        <v>0.8545454545454545</v>
      </c>
    </row>
    <row r="27" spans="1:8" s="161" customFormat="1" x14ac:dyDescent="0.2">
      <c r="A27" s="161" t="s">
        <v>361</v>
      </c>
      <c r="B27" s="161" t="s">
        <v>352</v>
      </c>
      <c r="C27" s="161" t="s">
        <v>370</v>
      </c>
      <c r="D27" s="161" t="s">
        <v>309</v>
      </c>
    </row>
    <row r="28" spans="1:8" x14ac:dyDescent="0.2">
      <c r="B28" t="s">
        <v>353</v>
      </c>
      <c r="C28" s="80">
        <f>C34/C40</f>
        <v>3.0757749613691877E-3</v>
      </c>
      <c r="D28">
        <f>'Raw Data'!AE68</f>
        <v>24</v>
      </c>
      <c r="E28" s="192">
        <f>$H$28*C28</f>
        <v>27.30057855711291</v>
      </c>
      <c r="H28">
        <v>8876</v>
      </c>
    </row>
    <row r="29" spans="1:8" x14ac:dyDescent="0.2">
      <c r="B29" t="s">
        <v>354</v>
      </c>
      <c r="C29" s="80">
        <f>C35/C40</f>
        <v>0.3174341187601159</v>
      </c>
      <c r="D29">
        <v>24</v>
      </c>
      <c r="E29" s="192">
        <f t="shared" ref="E29:E33" si="2">$H$28*C29</f>
        <v>2817.5452381147888</v>
      </c>
    </row>
    <row r="30" spans="1:8" x14ac:dyDescent="0.2">
      <c r="B30" t="s">
        <v>355</v>
      </c>
      <c r="C30" s="80">
        <f>C36/C40</f>
        <v>0.58402028110015236</v>
      </c>
      <c r="D30">
        <v>24</v>
      </c>
      <c r="E30" s="192">
        <f t="shared" si="2"/>
        <v>5183.7640150449524</v>
      </c>
    </row>
    <row r="31" spans="1:8" x14ac:dyDescent="0.2">
      <c r="B31" t="s">
        <v>356</v>
      </c>
      <c r="C31" s="80">
        <f>C37/C40</f>
        <v>1.8425638863797982E-2</v>
      </c>
      <c r="D31">
        <v>24</v>
      </c>
      <c r="E31" s="192">
        <f t="shared" si="2"/>
        <v>163.54597055507088</v>
      </c>
    </row>
    <row r="32" spans="1:8" x14ac:dyDescent="0.2">
      <c r="B32" t="s">
        <v>357</v>
      </c>
      <c r="C32" s="80">
        <f>C38/C40</f>
        <v>7.2773340987445534E-2</v>
      </c>
      <c r="D32">
        <v>24</v>
      </c>
      <c r="E32" s="192">
        <f t="shared" si="2"/>
        <v>645.93617460456653</v>
      </c>
    </row>
    <row r="33" spans="1:7" x14ac:dyDescent="0.2">
      <c r="B33" t="s">
        <v>371</v>
      </c>
      <c r="C33" s="80">
        <f>C39/C40</f>
        <v>4.2708453271190407E-3</v>
      </c>
      <c r="D33">
        <v>24</v>
      </c>
      <c r="E33" s="192">
        <f t="shared" si="2"/>
        <v>37.908023123508606</v>
      </c>
    </row>
    <row r="34" spans="1:7" x14ac:dyDescent="0.2">
      <c r="B34" t="s">
        <v>358</v>
      </c>
      <c r="C34" s="159">
        <f>'Raw Data'!AJ66</f>
        <v>24.459247050700867</v>
      </c>
      <c r="D34">
        <v>24</v>
      </c>
      <c r="E34" s="193"/>
    </row>
    <row r="35" spans="1:7" x14ac:dyDescent="0.2">
      <c r="B35" t="s">
        <v>359</v>
      </c>
      <c r="C35" s="159">
        <f>'Raw Data'!AK66</f>
        <v>2524.3067619026797</v>
      </c>
      <c r="D35">
        <v>24</v>
      </c>
      <c r="E35" s="193"/>
    </row>
    <row r="36" spans="1:7" x14ac:dyDescent="0.2">
      <c r="B36" t="s">
        <v>360</v>
      </c>
      <c r="C36" s="159">
        <f>'Raw Data'!AL66</f>
        <v>4644.259257409889</v>
      </c>
      <c r="D36">
        <v>24</v>
      </c>
      <c r="E36" s="193"/>
    </row>
    <row r="37" spans="1:7" x14ac:dyDescent="0.2">
      <c r="B37" t="s">
        <v>260</v>
      </c>
      <c r="C37" s="159">
        <f>'Raw Data'!AM66</f>
        <v>146.52478113548662</v>
      </c>
      <c r="D37">
        <v>24</v>
      </c>
      <c r="E37" s="193"/>
    </row>
    <row r="38" spans="1:7" x14ac:dyDescent="0.2">
      <c r="B38" t="s">
        <v>261</v>
      </c>
      <c r="C38" s="159">
        <f>'Raw Data'!AN66</f>
        <v>578.70980428440168</v>
      </c>
      <c r="D38">
        <v>24</v>
      </c>
      <c r="E38" s="193"/>
    </row>
    <row r="39" spans="1:7" x14ac:dyDescent="0.2">
      <c r="B39" t="s">
        <v>262</v>
      </c>
      <c r="C39" s="159">
        <f>'Raw Data'!AO66</f>
        <v>33.962712579217644</v>
      </c>
    </row>
    <row r="40" spans="1:7" x14ac:dyDescent="0.2">
      <c r="B40" t="s">
        <v>313</v>
      </c>
      <c r="C40" s="159">
        <f>SUM(C34:C39)</f>
        <v>7952.2225643623751</v>
      </c>
    </row>
    <row r="41" spans="1:7" s="161" customFormat="1" x14ac:dyDescent="0.2">
      <c r="A41" s="161" t="s">
        <v>362</v>
      </c>
      <c r="B41" s="161" t="s">
        <v>363</v>
      </c>
      <c r="D41" s="161" t="s">
        <v>141</v>
      </c>
      <c r="E41" s="161" t="s">
        <v>146</v>
      </c>
      <c r="F41" s="161" t="s">
        <v>335</v>
      </c>
      <c r="G41" s="161" t="s">
        <v>314</v>
      </c>
    </row>
    <row r="42" spans="1:7" x14ac:dyDescent="0.2">
      <c r="B42" t="s">
        <v>263</v>
      </c>
      <c r="D42">
        <f>'Raw Data'!AT66</f>
        <v>20</v>
      </c>
      <c r="E42">
        <f>'Raw Data'!AT67</f>
        <v>2</v>
      </c>
      <c r="F42" s="80">
        <f>'Raw Data'!AT70</f>
        <v>0.32258064516129031</v>
      </c>
      <c r="G42" s="80">
        <f>'Raw Data'!AT71</f>
        <v>3.2258064516129031E-2</v>
      </c>
    </row>
    <row r="43" spans="1:7" x14ac:dyDescent="0.2">
      <c r="B43" t="s">
        <v>264</v>
      </c>
      <c r="D43">
        <v>23</v>
      </c>
      <c r="E43">
        <v>0</v>
      </c>
      <c r="F43" s="80">
        <f>'Raw Data'!AU70</f>
        <v>0.37096774193548387</v>
      </c>
      <c r="G43" s="80">
        <f>'Raw Data'!AU71</f>
        <v>0</v>
      </c>
    </row>
    <row r="44" spans="1:7" x14ac:dyDescent="0.2">
      <c r="B44" t="s">
        <v>265</v>
      </c>
      <c r="D44">
        <f>'Raw Data'!AV66</f>
        <v>34</v>
      </c>
      <c r="E44">
        <f>'Raw Data'!AV67</f>
        <v>2</v>
      </c>
      <c r="F44" s="80">
        <f>'Raw Data'!AV70</f>
        <v>0.54838709677419351</v>
      </c>
      <c r="G44" s="80">
        <f>'Raw Data'!AV71</f>
        <v>3.2258064516129031E-2</v>
      </c>
    </row>
    <row r="45" spans="1:7" x14ac:dyDescent="0.2">
      <c r="B45" t="s">
        <v>266</v>
      </c>
      <c r="D45">
        <f>'Raw Data'!AW66</f>
        <v>11</v>
      </c>
      <c r="E45">
        <v>0</v>
      </c>
      <c r="F45" s="80">
        <f>'Raw Data'!AW70</f>
        <v>0.17741935483870969</v>
      </c>
      <c r="G45" s="80">
        <f>'Raw Data'!AW71</f>
        <v>0</v>
      </c>
    </row>
    <row r="46" spans="1:7" x14ac:dyDescent="0.2">
      <c r="B46" t="s">
        <v>267</v>
      </c>
      <c r="D46">
        <f>'Raw Data'!AX66</f>
        <v>40</v>
      </c>
      <c r="E46">
        <f>'Raw Data'!AX67</f>
        <v>1</v>
      </c>
      <c r="F46" s="80">
        <f>'Raw Data'!AX70</f>
        <v>0.64516129032258063</v>
      </c>
      <c r="G46" s="80">
        <f>'Raw Data'!AX71</f>
        <v>1.6129032258064516E-2</v>
      </c>
    </row>
    <row r="47" spans="1:7" x14ac:dyDescent="0.2">
      <c r="B47" t="s">
        <v>268</v>
      </c>
      <c r="D47">
        <f>'Raw Data'!AY66</f>
        <v>15</v>
      </c>
      <c r="E47">
        <f>'Raw Data'!AY67</f>
        <v>0</v>
      </c>
      <c r="F47" s="80">
        <f>'Raw Data'!AY70</f>
        <v>0.24193548387096775</v>
      </c>
      <c r="G47" s="80">
        <f>'Raw Data'!AY71</f>
        <v>0</v>
      </c>
    </row>
    <row r="48" spans="1:7" x14ac:dyDescent="0.2">
      <c r="B48" t="s">
        <v>269</v>
      </c>
      <c r="D48">
        <f>'Raw Data'!AZ66</f>
        <v>10</v>
      </c>
      <c r="E48">
        <f>'Raw Data'!AZ67</f>
        <v>4</v>
      </c>
      <c r="F48" s="80">
        <f>'Raw Data'!AZ70</f>
        <v>0.16129032258064516</v>
      </c>
      <c r="G48" s="80">
        <f>'Raw Data'!AZ71</f>
        <v>6.4516129032258063E-2</v>
      </c>
    </row>
    <row r="49" spans="1:8" x14ac:dyDescent="0.2">
      <c r="B49" t="s">
        <v>270</v>
      </c>
      <c r="D49">
        <f>'Raw Data'!BA66</f>
        <v>7</v>
      </c>
      <c r="E49">
        <f>'Raw Data'!BA67</f>
        <v>1</v>
      </c>
      <c r="F49" s="80">
        <f>'Raw Data'!BA70</f>
        <v>0.11290322580645161</v>
      </c>
      <c r="G49" s="80">
        <f>'Raw Data'!BA71</f>
        <v>1.6129032258064516E-2</v>
      </c>
    </row>
    <row r="50" spans="1:8" x14ac:dyDescent="0.2">
      <c r="B50" t="s">
        <v>271</v>
      </c>
      <c r="D50">
        <f>'Raw Data'!BB66</f>
        <v>28</v>
      </c>
      <c r="E50">
        <v>0</v>
      </c>
      <c r="F50" s="80">
        <f>'Raw Data'!BB70</f>
        <v>0.45161290322580644</v>
      </c>
      <c r="G50" s="80">
        <f>'Raw Data'!BB71</f>
        <v>0</v>
      </c>
    </row>
    <row r="51" spans="1:8" x14ac:dyDescent="0.2">
      <c r="B51" t="s">
        <v>364</v>
      </c>
      <c r="D51">
        <f>'Raw Data'!BC66</f>
        <v>23</v>
      </c>
      <c r="E51">
        <f>'Raw Data'!BC67</f>
        <v>1</v>
      </c>
      <c r="F51" s="80">
        <f>'Raw Data'!BC70</f>
        <v>0.37096774193548387</v>
      </c>
      <c r="G51" s="80">
        <f>'Raw Data'!BC71</f>
        <v>1.6129032258064516E-2</v>
      </c>
    </row>
    <row r="52" spans="1:8" s="161" customFormat="1" x14ac:dyDescent="0.2">
      <c r="A52" s="161" t="s">
        <v>365</v>
      </c>
      <c r="B52" s="161" t="s">
        <v>366</v>
      </c>
      <c r="D52" s="161" t="s">
        <v>141</v>
      </c>
      <c r="E52" s="161" t="s">
        <v>146</v>
      </c>
      <c r="F52" s="161" t="s">
        <v>152</v>
      </c>
      <c r="G52" s="161" t="s">
        <v>310</v>
      </c>
      <c r="H52" s="161" t="s">
        <v>314</v>
      </c>
    </row>
    <row r="53" spans="1:8" x14ac:dyDescent="0.2">
      <c r="B53" t="s">
        <v>367</v>
      </c>
      <c r="D53">
        <f>'Raw Data'!BE66</f>
        <v>28</v>
      </c>
      <c r="E53">
        <f>'Raw Data'!BE67</f>
        <v>1</v>
      </c>
      <c r="F53">
        <f>'Raw Data'!BE68</f>
        <v>33</v>
      </c>
      <c r="G53" s="80">
        <f>'Raw Data'!BE70</f>
        <v>0.45161290322580644</v>
      </c>
      <c r="H53" s="80">
        <f>'Raw Data'!BE71</f>
        <v>1.6129032258064516E-2</v>
      </c>
    </row>
    <row r="54" spans="1:8" s="161" customFormat="1" x14ac:dyDescent="0.2">
      <c r="A54" s="161" t="s">
        <v>368</v>
      </c>
      <c r="B54" s="161" t="s">
        <v>369</v>
      </c>
      <c r="C54" s="161" t="s">
        <v>370</v>
      </c>
      <c r="D54" s="161" t="s">
        <v>309</v>
      </c>
    </row>
    <row r="55" spans="1:8" x14ac:dyDescent="0.2">
      <c r="B55" t="s">
        <v>353</v>
      </c>
      <c r="C55" s="80">
        <f>C60/C65</f>
        <v>0.8504565871688522</v>
      </c>
      <c r="D55">
        <v>12</v>
      </c>
    </row>
    <row r="56" spans="1:8" x14ac:dyDescent="0.2">
      <c r="B56" t="s">
        <v>354</v>
      </c>
      <c r="C56" s="80">
        <f>C61/C65</f>
        <v>4.9630675322156668E-2</v>
      </c>
      <c r="D56">
        <v>12</v>
      </c>
    </row>
    <row r="57" spans="1:8" x14ac:dyDescent="0.2">
      <c r="B57" t="s">
        <v>355</v>
      </c>
      <c r="C57" s="80">
        <f>C62/C65</f>
        <v>7.0991286143661583E-2</v>
      </c>
      <c r="D57">
        <v>12</v>
      </c>
    </row>
    <row r="58" spans="1:8" x14ac:dyDescent="0.2">
      <c r="B58" t="s">
        <v>357</v>
      </c>
      <c r="C58" s="80">
        <f>C63/C65</f>
        <v>2.8900365373278548E-2</v>
      </c>
      <c r="D58">
        <v>12</v>
      </c>
    </row>
    <row r="59" spans="1:8" x14ac:dyDescent="0.2">
      <c r="B59" t="s">
        <v>371</v>
      </c>
      <c r="C59" s="80">
        <f>C64/C65</f>
        <v>2.108599205109139E-5</v>
      </c>
      <c r="D59">
        <v>12</v>
      </c>
    </row>
    <row r="60" spans="1:8" x14ac:dyDescent="0.2">
      <c r="B60" t="s">
        <v>358</v>
      </c>
      <c r="C60" s="159">
        <f>'Raw Data'!BL66</f>
        <v>39544.453236114285</v>
      </c>
      <c r="D60">
        <v>12</v>
      </c>
    </row>
    <row r="61" spans="1:8" x14ac:dyDescent="0.2">
      <c r="B61" t="s">
        <v>359</v>
      </c>
      <c r="C61" s="159">
        <f>'Raw Data'!BM66</f>
        <v>2307.722638597344</v>
      </c>
      <c r="D61">
        <v>12</v>
      </c>
    </row>
    <row r="62" spans="1:8" x14ac:dyDescent="0.2">
      <c r="B62" t="s">
        <v>360</v>
      </c>
      <c r="C62" s="159">
        <f>'Raw Data'!BN66</f>
        <v>3300.9463827249551</v>
      </c>
      <c r="D62">
        <v>12</v>
      </c>
    </row>
    <row r="63" spans="1:8" x14ac:dyDescent="0.2">
      <c r="B63" t="s">
        <v>261</v>
      </c>
      <c r="C63" s="159">
        <f>'Raw Data'!BO66</f>
        <v>1343.8065672637624</v>
      </c>
      <c r="D63">
        <v>12</v>
      </c>
    </row>
    <row r="64" spans="1:8" x14ac:dyDescent="0.2">
      <c r="B64" t="s">
        <v>262</v>
      </c>
      <c r="C64" s="159">
        <f>'Raw Data'!BP66</f>
        <v>0.98045454545454547</v>
      </c>
      <c r="D64">
        <v>12</v>
      </c>
    </row>
    <row r="65" spans="1:5" x14ac:dyDescent="0.2">
      <c r="B65" t="s">
        <v>313</v>
      </c>
      <c r="C65" s="159">
        <f>SUM(C60:C64)</f>
        <v>46497.909279245796</v>
      </c>
      <c r="D65">
        <v>12</v>
      </c>
    </row>
    <row r="66" spans="1:5" s="161" customFormat="1" x14ac:dyDescent="0.2">
      <c r="A66" s="161" t="s">
        <v>372</v>
      </c>
      <c r="B66" s="161" t="s">
        <v>373</v>
      </c>
      <c r="C66" s="161" t="s">
        <v>370</v>
      </c>
      <c r="D66" s="161" t="s">
        <v>309</v>
      </c>
    </row>
    <row r="67" spans="1:5" x14ac:dyDescent="0.2">
      <c r="B67" t="s">
        <v>374</v>
      </c>
      <c r="C67">
        <f>'Raw Data'!BT66</f>
        <v>208.47105263157894</v>
      </c>
      <c r="D67">
        <f>'Raw Data'!BT69</f>
        <v>19</v>
      </c>
    </row>
    <row r="68" spans="1:5" x14ac:dyDescent="0.2">
      <c r="B68" t="s">
        <v>375</v>
      </c>
      <c r="C68">
        <f>'Raw Data'!BT67</f>
        <v>792.18999999999994</v>
      </c>
      <c r="D68">
        <v>5</v>
      </c>
    </row>
    <row r="69" spans="1:5" s="161" customFormat="1" x14ac:dyDescent="0.2">
      <c r="A69" s="161" t="s">
        <v>376</v>
      </c>
      <c r="B69" s="161" t="s">
        <v>377</v>
      </c>
      <c r="C69" s="161" t="s">
        <v>307</v>
      </c>
      <c r="D69" s="161" t="s">
        <v>378</v>
      </c>
      <c r="E69" s="161" t="s">
        <v>379</v>
      </c>
    </row>
    <row r="70" spans="1:5" x14ac:dyDescent="0.2">
      <c r="B70" t="str">
        <f>'Raw Data'!BU2</f>
        <v>Ground and sold for commercial use - $/ton</v>
      </c>
      <c r="C70" s="151">
        <f>'Raw Data'!BU66</f>
        <v>19.100000000000001</v>
      </c>
      <c r="D70" s="151">
        <f>'Raw Data'!BU67</f>
        <v>19.100000000000001</v>
      </c>
      <c r="E70">
        <f>'Raw Data'!BU69</f>
        <v>5</v>
      </c>
    </row>
    <row r="71" spans="1:5" x14ac:dyDescent="0.2">
      <c r="B71" t="str">
        <f>'Raw Data'!BV2</f>
        <v>Ground and sold for commercial use - Tonnage</v>
      </c>
      <c r="C71">
        <v>0</v>
      </c>
      <c r="D71">
        <v>0</v>
      </c>
      <c r="E71">
        <v>3</v>
      </c>
    </row>
    <row r="72" spans="1:5" x14ac:dyDescent="0.2">
      <c r="B72" t="str">
        <f>'Raw Data'!BW2</f>
        <v>Ground and sold for residential use - $/ton</v>
      </c>
      <c r="C72" s="151">
        <f>'Raw Data'!BW66</f>
        <v>17.907499999999999</v>
      </c>
      <c r="D72" s="151">
        <f>'Raw Data'!BW67</f>
        <v>17.907499999999999</v>
      </c>
      <c r="E72">
        <f>'Raw Data'!BW69</f>
        <v>4</v>
      </c>
    </row>
    <row r="73" spans="1:5" x14ac:dyDescent="0.2">
      <c r="B73" t="str">
        <f>'Raw Data'!BX2</f>
        <v xml:space="preserve"> Ground and sold for residential use - Tonnage</v>
      </c>
      <c r="C73" s="159">
        <f>'Raw Data'!BX66</f>
        <v>822.12333333333333</v>
      </c>
      <c r="D73" s="159">
        <f>'Raw Data'!BX67</f>
        <v>2466.37</v>
      </c>
      <c r="E73">
        <f>'Raw Data'!BW69</f>
        <v>4</v>
      </c>
    </row>
    <row r="74" spans="1:5" x14ac:dyDescent="0.2">
      <c r="B74" t="str">
        <f>'Raw Data'!BY2</f>
        <v>Sold for other uses - $/ton</v>
      </c>
      <c r="C74" s="151">
        <f>'Raw Data'!BY66</f>
        <v>8.8333333333333339</v>
      </c>
      <c r="D74" s="151">
        <f>'Raw Data'!BY67</f>
        <v>8.8333333333333339</v>
      </c>
      <c r="E74">
        <f>'Raw Data'!BZ69</f>
        <v>3</v>
      </c>
    </row>
    <row r="75" spans="1:5" x14ac:dyDescent="0.2">
      <c r="B75" t="str">
        <f>'Raw Data'!BZ2</f>
        <v>Sold for other uses - Tonnage</v>
      </c>
      <c r="C75" s="1">
        <f>'Raw Data'!BZ66</f>
        <v>8416.2333333333336</v>
      </c>
      <c r="D75" s="1">
        <f>'Raw Data'!BZ67</f>
        <v>12624.35</v>
      </c>
      <c r="E75">
        <f>'Raw Data'!BZ69</f>
        <v>3</v>
      </c>
    </row>
    <row r="76" spans="1:5" s="161" customFormat="1" x14ac:dyDescent="0.2">
      <c r="A76" s="161" t="s">
        <v>380</v>
      </c>
      <c r="B76" s="161" t="s">
        <v>381</v>
      </c>
    </row>
    <row r="77" spans="1:5" x14ac:dyDescent="0.2">
      <c r="B77" t="s">
        <v>305</v>
      </c>
      <c r="C77">
        <f>'Raw Data'!CF66</f>
        <v>5</v>
      </c>
    </row>
    <row r="78" spans="1:5" x14ac:dyDescent="0.2">
      <c r="B78" t="s">
        <v>382</v>
      </c>
      <c r="C78">
        <f>'Raw Data'!CF67</f>
        <v>0</v>
      </c>
    </row>
    <row r="79" spans="1:5" x14ac:dyDescent="0.2">
      <c r="B79" t="s">
        <v>74</v>
      </c>
      <c r="C79">
        <f>'Raw Data'!CF68</f>
        <v>20</v>
      </c>
    </row>
    <row r="80" spans="1:5" x14ac:dyDescent="0.2">
      <c r="B80" t="s">
        <v>383</v>
      </c>
      <c r="C80" s="80">
        <f>'Raw Data'!CF71</f>
        <v>0.2</v>
      </c>
    </row>
    <row r="81" spans="1:3" s="161" customFormat="1" x14ac:dyDescent="0.2">
      <c r="A81" s="161" t="s">
        <v>384</v>
      </c>
      <c r="B81" s="161" t="s">
        <v>385</v>
      </c>
      <c r="C81" s="161" t="s">
        <v>386</v>
      </c>
    </row>
    <row r="82" spans="1:3" x14ac:dyDescent="0.2">
      <c r="B82" t="s">
        <v>141</v>
      </c>
      <c r="C82">
        <v>9</v>
      </c>
    </row>
    <row r="83" spans="1:3" x14ac:dyDescent="0.2">
      <c r="B83" t="s">
        <v>387</v>
      </c>
      <c r="C83" s="80">
        <f>'Raw Data'!CI69</f>
        <v>1.8181818181818182E-3</v>
      </c>
    </row>
    <row r="84" spans="1:3" s="161" customFormat="1" x14ac:dyDescent="0.2">
      <c r="A84" s="161" t="s">
        <v>388</v>
      </c>
      <c r="B84" s="161" t="s">
        <v>389</v>
      </c>
    </row>
    <row r="85" spans="1:3" x14ac:dyDescent="0.2">
      <c r="B85" t="s">
        <v>390</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R152"/>
  <sheetViews>
    <sheetView tabSelected="1" topLeftCell="A65" zoomScale="115" workbookViewId="0">
      <pane xSplit="2" topLeftCell="K1" activePane="topRight" state="frozen"/>
      <selection pane="topRight" activeCell="R74" sqref="R74"/>
    </sheetView>
  </sheetViews>
  <sheetFormatPr baseColWidth="10" defaultColWidth="8.83203125" defaultRowHeight="15" x14ac:dyDescent="0.2"/>
  <cols>
    <col min="1" max="1" width="8.83203125" style="68"/>
    <col min="2" max="2" width="0" hidden="1" customWidth="1"/>
    <col min="4" max="4" width="16.33203125" bestFit="1" customWidth="1"/>
    <col min="6" max="6" width="24.1640625" bestFit="1" customWidth="1"/>
    <col min="7" max="10" width="24.1640625" customWidth="1"/>
    <col min="11" max="11" width="15.83203125" bestFit="1" customWidth="1"/>
    <col min="12" max="12" width="17" customWidth="1"/>
    <col min="13" max="13" width="16.33203125" customWidth="1"/>
    <col min="14" max="14" width="17.33203125" customWidth="1"/>
    <col min="15" max="15" width="10.83203125" customWidth="1"/>
    <col min="16" max="16" width="10.6640625" customWidth="1"/>
    <col min="17" max="17" width="10.83203125" customWidth="1"/>
    <col min="18" max="18" width="10.6640625" customWidth="1"/>
    <col min="19" max="19" width="11.6640625" bestFit="1" customWidth="1"/>
    <col min="20" max="20" width="10" customWidth="1"/>
    <col min="21" max="21" width="12.5" customWidth="1"/>
    <col min="22" max="22" width="12.1640625" customWidth="1"/>
    <col min="23" max="23" width="19.33203125" customWidth="1"/>
    <col min="25" max="25" width="13.83203125" bestFit="1" customWidth="1"/>
    <col min="26" max="26" width="22.1640625" customWidth="1"/>
    <col min="27" max="27" width="23.33203125" customWidth="1"/>
    <col min="28" max="28" width="11.1640625" customWidth="1"/>
    <col min="29" max="29" width="11.1640625" style="65" customWidth="1"/>
    <col min="30" max="30" width="18.33203125" style="8" bestFit="1" customWidth="1"/>
    <col min="31" max="31" width="22.83203125" style="9" bestFit="1" customWidth="1"/>
    <col min="32" max="32" width="12.83203125" style="9" bestFit="1" customWidth="1"/>
    <col min="33" max="33" width="14.5" style="9" customWidth="1"/>
    <col min="34" max="34" width="9.6640625" style="9" bestFit="1" customWidth="1"/>
    <col min="35" max="35" width="13.33203125" style="9" bestFit="1" customWidth="1"/>
    <col min="36" max="36" width="8.83203125" style="9"/>
    <col min="37" max="37" width="23.83203125" style="9" bestFit="1" customWidth="1"/>
    <col min="38" max="38" width="15.6640625" style="9" customWidth="1"/>
    <col min="39" max="39" width="8.83203125" style="9"/>
    <col min="40" max="40" width="11.83203125" style="9" bestFit="1" customWidth="1"/>
    <col min="41" max="41" width="15.6640625" style="9" customWidth="1"/>
    <col min="42" max="42" width="8.83203125" style="9"/>
    <col min="43" max="43" width="8.83203125" style="10"/>
    <col min="44" max="44" width="8.83203125" style="9"/>
    <col min="45" max="45" width="8.83203125" style="114"/>
    <col min="46" max="46" width="10.83203125" customWidth="1"/>
    <col min="47" max="47" width="20.83203125" bestFit="1" customWidth="1"/>
    <col min="48" max="48" width="11.83203125" customWidth="1"/>
    <col min="49" max="49" width="12" customWidth="1"/>
    <col min="52" max="52" width="11.6640625" customWidth="1"/>
    <col min="53" max="53" width="10.83203125" customWidth="1"/>
    <col min="54" max="54" width="14" customWidth="1"/>
    <col min="55" max="55" width="16.5" customWidth="1"/>
    <col min="56" max="56" width="16.5" style="65" customWidth="1"/>
    <col min="57" max="57" width="46.1640625" style="35" customWidth="1"/>
    <col min="58" max="58" width="46.1640625" style="115" customWidth="1"/>
    <col min="59" max="59" width="15.1640625" style="8" customWidth="1"/>
    <col min="60" max="60" width="19.6640625" style="9" customWidth="1"/>
    <col min="61" max="61" width="15.33203125" style="9" customWidth="1"/>
    <col min="62" max="62" width="18.1640625" style="9" customWidth="1"/>
    <col min="63" max="63" width="14.6640625" style="9" customWidth="1"/>
    <col min="64" max="64" width="16" style="9" customWidth="1"/>
    <col min="65" max="65" width="15.33203125" style="9" customWidth="1"/>
    <col min="66" max="66" width="15.83203125" style="9" customWidth="1"/>
    <col min="67" max="67" width="14" style="9" customWidth="1"/>
    <col min="68" max="68" width="27" style="9" bestFit="1" customWidth="1"/>
    <col min="69" max="69" width="12.5" style="9" customWidth="1"/>
    <col min="70" max="70" width="12.33203125" style="10" customWidth="1"/>
    <col min="71" max="71" width="12" style="137" customWidth="1"/>
    <col min="72" max="72" width="8.83203125" style="35"/>
    <col min="73" max="73" width="11.1640625" style="8" customWidth="1"/>
    <col min="74" max="74" width="16.1640625" style="9" bestFit="1" customWidth="1"/>
    <col min="75" max="78" width="8.83203125" style="9"/>
    <col min="79" max="79" width="12.6640625" style="9" customWidth="1"/>
    <col min="80" max="81" width="8.83203125" style="9"/>
    <col min="82" max="82" width="11.6640625" style="9" bestFit="1" customWidth="1"/>
    <col min="83" max="83" width="14.6640625" style="114" customWidth="1"/>
    <col min="84" max="84" width="40" style="8" bestFit="1" customWidth="1"/>
    <col min="85" max="85" width="16.1640625" style="10" customWidth="1"/>
    <col min="86" max="86" width="8.83203125" style="8"/>
    <col min="87" max="87" width="12.5" style="9" customWidth="1"/>
    <col min="88" max="88" width="8.83203125" style="8"/>
    <col min="89" max="92" width="8.83203125" style="9"/>
    <col min="93" max="93" width="8.83203125" style="10"/>
    <col min="94" max="94" width="14.6640625" customWidth="1"/>
  </cols>
  <sheetData>
    <row r="1" spans="1:96" ht="16" thickBot="1" x14ac:dyDescent="0.25">
      <c r="A1" s="67"/>
      <c r="F1" s="209" t="s">
        <v>231</v>
      </c>
      <c r="G1" s="211"/>
      <c r="H1" s="210"/>
      <c r="I1" s="191"/>
      <c r="J1" s="191"/>
      <c r="K1" s="209" t="s">
        <v>233</v>
      </c>
      <c r="L1" s="211"/>
      <c r="M1" s="211"/>
      <c r="N1" s="211"/>
      <c r="O1" s="211"/>
      <c r="P1" s="211"/>
      <c r="Q1" s="211"/>
      <c r="R1" s="211"/>
      <c r="S1" s="210"/>
      <c r="T1" s="209" t="s">
        <v>242</v>
      </c>
      <c r="U1" s="211"/>
      <c r="V1" s="211"/>
      <c r="W1" s="211"/>
      <c r="X1" s="211"/>
      <c r="Y1" s="210"/>
      <c r="Z1" s="60" t="s">
        <v>248</v>
      </c>
      <c r="AA1" s="209" t="s">
        <v>249</v>
      </c>
      <c r="AB1" s="210"/>
      <c r="AC1" s="112"/>
      <c r="AD1" s="209" t="s">
        <v>276</v>
      </c>
      <c r="AE1" s="211"/>
      <c r="AF1" s="211"/>
      <c r="AG1" s="211"/>
      <c r="AH1" s="211"/>
      <c r="AI1" s="211"/>
      <c r="AJ1" s="211"/>
      <c r="AK1" s="211"/>
      <c r="AL1" s="211"/>
      <c r="AM1" s="211"/>
      <c r="AN1" s="211"/>
      <c r="AO1" s="211"/>
      <c r="AP1" s="62"/>
      <c r="AQ1" s="61"/>
      <c r="AR1" s="62"/>
      <c r="AS1" s="112"/>
      <c r="AT1" s="209" t="s">
        <v>277</v>
      </c>
      <c r="AU1" s="211"/>
      <c r="AV1" s="211"/>
      <c r="AW1" s="211"/>
      <c r="AX1" s="211"/>
      <c r="AY1" s="211"/>
      <c r="AZ1" s="211"/>
      <c r="BA1" s="211"/>
      <c r="BB1" s="211"/>
      <c r="BC1" s="210"/>
      <c r="BD1" s="129"/>
      <c r="BE1" s="60" t="s">
        <v>278</v>
      </c>
      <c r="BF1" s="132"/>
      <c r="BG1" s="212" t="s">
        <v>275</v>
      </c>
      <c r="BH1" s="213"/>
      <c r="BI1" s="213"/>
      <c r="BJ1" s="213"/>
      <c r="BK1" s="213"/>
      <c r="BL1" s="213"/>
      <c r="BM1" s="213"/>
      <c r="BN1" s="213"/>
      <c r="BO1" s="213"/>
      <c r="BP1" s="213"/>
      <c r="BQ1" s="213"/>
      <c r="BR1" s="214"/>
      <c r="BS1" s="129"/>
      <c r="BT1" s="38" t="s">
        <v>315</v>
      </c>
      <c r="BU1" s="209" t="s">
        <v>281</v>
      </c>
      <c r="BV1" s="211"/>
      <c r="BW1" s="211"/>
      <c r="BX1" s="211"/>
      <c r="BY1" s="211"/>
      <c r="BZ1" s="211"/>
      <c r="CA1" s="211"/>
      <c r="CB1" s="211"/>
      <c r="CC1" s="62"/>
      <c r="CD1" s="62"/>
      <c r="CE1" s="112"/>
      <c r="CF1" s="209" t="s">
        <v>288</v>
      </c>
      <c r="CG1" s="210"/>
      <c r="CH1" s="209" t="s">
        <v>289</v>
      </c>
      <c r="CI1" s="210"/>
      <c r="CJ1" s="209" t="s">
        <v>290</v>
      </c>
      <c r="CK1" s="211"/>
      <c r="CL1" s="211"/>
      <c r="CM1" s="211"/>
      <c r="CN1" s="211"/>
      <c r="CO1" s="210"/>
    </row>
    <row r="2" spans="1:96" s="71" customFormat="1" ht="46.5" customHeight="1" thickBot="1" x14ac:dyDescent="0.25">
      <c r="A2" s="70" t="s">
        <v>150</v>
      </c>
      <c r="B2" s="71" t="s">
        <v>0</v>
      </c>
      <c r="C2" s="71" t="s">
        <v>1</v>
      </c>
      <c r="D2" s="71" t="s">
        <v>2</v>
      </c>
      <c r="E2" s="71" t="s">
        <v>230</v>
      </c>
      <c r="F2" s="72" t="s">
        <v>232</v>
      </c>
      <c r="G2" s="71" t="s">
        <v>409</v>
      </c>
      <c r="H2" s="73" t="s">
        <v>294</v>
      </c>
      <c r="K2" s="71" t="s">
        <v>234</v>
      </c>
      <c r="L2" s="74" t="s">
        <v>235</v>
      </c>
      <c r="M2" s="74" t="s">
        <v>236</v>
      </c>
      <c r="N2" s="74" t="s">
        <v>237</v>
      </c>
      <c r="O2" s="74" t="s">
        <v>238</v>
      </c>
      <c r="P2" s="74" t="s">
        <v>239</v>
      </c>
      <c r="Q2" s="74" t="s">
        <v>240</v>
      </c>
      <c r="R2" s="74" t="s">
        <v>241</v>
      </c>
      <c r="S2" s="75" t="s">
        <v>291</v>
      </c>
      <c r="T2" s="76" t="s">
        <v>243</v>
      </c>
      <c r="U2" s="74" t="s">
        <v>244</v>
      </c>
      <c r="V2" s="74" t="s">
        <v>245</v>
      </c>
      <c r="W2" s="74" t="s">
        <v>246</v>
      </c>
      <c r="X2" s="74" t="s">
        <v>296</v>
      </c>
      <c r="Y2" s="75" t="s">
        <v>295</v>
      </c>
      <c r="Z2" s="77" t="s">
        <v>247</v>
      </c>
      <c r="AA2" s="72" t="s">
        <v>250</v>
      </c>
      <c r="AB2" s="71" t="s">
        <v>18</v>
      </c>
      <c r="AC2" s="113"/>
      <c r="AD2" s="72" t="s">
        <v>251</v>
      </c>
      <c r="AE2" s="71" t="s">
        <v>252</v>
      </c>
      <c r="AF2" s="71" t="s">
        <v>253</v>
      </c>
      <c r="AG2" s="71" t="s">
        <v>254</v>
      </c>
      <c r="AH2" s="71" t="s">
        <v>255</v>
      </c>
      <c r="AI2" s="71" t="s">
        <v>256</v>
      </c>
      <c r="AJ2" s="71" t="s">
        <v>257</v>
      </c>
      <c r="AK2" s="71" t="s">
        <v>258</v>
      </c>
      <c r="AL2" s="71" t="s">
        <v>259</v>
      </c>
      <c r="AM2" s="71" t="s">
        <v>260</v>
      </c>
      <c r="AN2" s="71" t="s">
        <v>261</v>
      </c>
      <c r="AO2" s="71" t="s">
        <v>262</v>
      </c>
      <c r="AP2" s="74" t="s">
        <v>298</v>
      </c>
      <c r="AQ2" s="75" t="s">
        <v>299</v>
      </c>
      <c r="AR2" s="74"/>
      <c r="AS2" s="127"/>
      <c r="AT2" s="72" t="s">
        <v>263</v>
      </c>
      <c r="AU2" s="71" t="s">
        <v>264</v>
      </c>
      <c r="AV2" s="71" t="s">
        <v>265</v>
      </c>
      <c r="AW2" s="71" t="s">
        <v>266</v>
      </c>
      <c r="AX2" s="71" t="s">
        <v>267</v>
      </c>
      <c r="AY2" s="71" t="s">
        <v>268</v>
      </c>
      <c r="AZ2" s="71" t="s">
        <v>269</v>
      </c>
      <c r="BA2" s="71" t="s">
        <v>270</v>
      </c>
      <c r="BB2" s="71" t="s">
        <v>271</v>
      </c>
      <c r="BC2" s="71" t="s">
        <v>272</v>
      </c>
      <c r="BD2" s="113"/>
      <c r="BE2" s="78" t="s">
        <v>273</v>
      </c>
      <c r="BF2" s="133"/>
      <c r="BG2" s="72" t="s">
        <v>274</v>
      </c>
      <c r="BH2" s="71" t="s">
        <v>252</v>
      </c>
      <c r="BI2" s="71" t="s">
        <v>253</v>
      </c>
      <c r="BJ2" s="71" t="s">
        <v>279</v>
      </c>
      <c r="BK2" s="71" t="s">
        <v>256</v>
      </c>
      <c r="BL2" s="71" t="s">
        <v>257</v>
      </c>
      <c r="BM2" s="71" t="s">
        <v>258</v>
      </c>
      <c r="BN2" s="71" t="s">
        <v>259</v>
      </c>
      <c r="BO2" s="71" t="s">
        <v>261</v>
      </c>
      <c r="BP2" s="71" t="s">
        <v>262</v>
      </c>
      <c r="BQ2" s="74" t="s">
        <v>300</v>
      </c>
      <c r="BR2" s="75" t="s">
        <v>301</v>
      </c>
      <c r="BS2" s="136"/>
      <c r="BT2" s="78" t="s">
        <v>280</v>
      </c>
      <c r="BU2" s="72" t="s">
        <v>282</v>
      </c>
      <c r="BV2" s="71" t="s">
        <v>283</v>
      </c>
      <c r="BW2" s="71" t="s">
        <v>284</v>
      </c>
      <c r="BX2" s="71" t="s">
        <v>285</v>
      </c>
      <c r="BY2" s="71" t="s">
        <v>286</v>
      </c>
      <c r="BZ2" s="71" t="s">
        <v>287</v>
      </c>
      <c r="CA2" s="71" t="s">
        <v>59</v>
      </c>
      <c r="CB2" s="71" t="s">
        <v>60</v>
      </c>
      <c r="CC2" s="71" t="s">
        <v>303</v>
      </c>
      <c r="CD2" s="74" t="s">
        <v>302</v>
      </c>
      <c r="CE2" s="128"/>
      <c r="CF2" s="63" t="s">
        <v>61</v>
      </c>
      <c r="CG2" s="73" t="s">
        <v>62</v>
      </c>
      <c r="CH2" s="72" t="s">
        <v>63</v>
      </c>
      <c r="CI2" s="71" t="s">
        <v>64</v>
      </c>
      <c r="CJ2" s="72" t="s">
        <v>65</v>
      </c>
      <c r="CK2" s="71" t="s">
        <v>66</v>
      </c>
      <c r="CL2" s="71" t="s">
        <v>67</v>
      </c>
      <c r="CM2" s="71" t="s">
        <v>68</v>
      </c>
      <c r="CN2" s="71" t="s">
        <v>69</v>
      </c>
      <c r="CO2" s="73" t="s">
        <v>70</v>
      </c>
      <c r="CP2" s="71" t="s">
        <v>71</v>
      </c>
      <c r="CQ2" s="71" t="s">
        <v>72</v>
      </c>
      <c r="CR2" s="71" t="s">
        <v>73</v>
      </c>
    </row>
    <row r="3" spans="1:96" x14ac:dyDescent="0.2">
      <c r="A3" s="69">
        <v>9</v>
      </c>
      <c r="B3">
        <v>9</v>
      </c>
      <c r="C3" t="s">
        <v>141</v>
      </c>
      <c r="D3" t="s">
        <v>102</v>
      </c>
      <c r="E3" t="s">
        <v>338</v>
      </c>
      <c r="F3" s="8">
        <v>35000</v>
      </c>
      <c r="G3" s="9">
        <f>SUM(O3:R3)</f>
        <v>0</v>
      </c>
      <c r="H3" s="10"/>
      <c r="I3" s="171" t="s">
        <v>152</v>
      </c>
      <c r="J3" s="35"/>
      <c r="K3" s="9"/>
      <c r="L3" s="9"/>
      <c r="M3" s="9"/>
      <c r="N3" s="9"/>
      <c r="O3" s="9"/>
      <c r="P3" s="9"/>
      <c r="Q3" s="9"/>
      <c r="R3" s="9"/>
      <c r="S3" s="10" t="s">
        <v>292</v>
      </c>
      <c r="T3" s="8">
        <f>10*4.8</f>
        <v>48</v>
      </c>
      <c r="U3" s="9">
        <f t="shared" ref="U3:W3" si="0">10*4.8</f>
        <v>48</v>
      </c>
      <c r="V3" s="9">
        <f t="shared" si="0"/>
        <v>48</v>
      </c>
      <c r="W3" s="9">
        <f t="shared" si="0"/>
        <v>48</v>
      </c>
      <c r="X3" s="9" t="s">
        <v>141</v>
      </c>
      <c r="Y3" s="10" t="s">
        <v>293</v>
      </c>
      <c r="Z3" s="35" t="s">
        <v>75</v>
      </c>
      <c r="AA3" s="8"/>
      <c r="AB3" s="9"/>
      <c r="AC3" s="114"/>
      <c r="AP3" s="9" t="s">
        <v>292</v>
      </c>
      <c r="AT3" s="8" t="s">
        <v>151</v>
      </c>
      <c r="AU3" s="9" t="s">
        <v>397</v>
      </c>
      <c r="AV3" s="9" t="s">
        <v>151</v>
      </c>
      <c r="AW3" s="41" t="s">
        <v>397</v>
      </c>
      <c r="AX3" s="9" t="s">
        <v>151</v>
      </c>
      <c r="AY3" s="41" t="s">
        <v>397</v>
      </c>
      <c r="AZ3" s="41" t="s">
        <v>397</v>
      </c>
      <c r="BA3" s="41" t="s">
        <v>397</v>
      </c>
      <c r="BB3" s="41" t="s">
        <v>397</v>
      </c>
      <c r="BC3" s="9" t="s">
        <v>151</v>
      </c>
      <c r="BD3" s="9"/>
      <c r="BE3" s="171" t="s">
        <v>152</v>
      </c>
      <c r="BQ3" s="9" t="s">
        <v>292</v>
      </c>
      <c r="CD3" s="9" t="s">
        <v>292</v>
      </c>
      <c r="CP3" t="s">
        <v>143</v>
      </c>
    </row>
    <row r="4" spans="1:96" x14ac:dyDescent="0.2">
      <c r="A4" s="68">
        <v>18</v>
      </c>
      <c r="B4">
        <v>18</v>
      </c>
      <c r="C4" t="s">
        <v>141</v>
      </c>
      <c r="D4" t="s">
        <v>86</v>
      </c>
      <c r="E4" t="s">
        <v>338</v>
      </c>
      <c r="F4" s="8">
        <v>1000</v>
      </c>
      <c r="G4" s="9">
        <f t="shared" ref="G4:G64" si="1">SUM(O4:R4)</f>
        <v>1000</v>
      </c>
      <c r="H4" s="10"/>
      <c r="I4" s="35" t="s">
        <v>152</v>
      </c>
      <c r="J4" s="35"/>
      <c r="K4" s="9">
        <v>25</v>
      </c>
      <c r="L4" s="9">
        <v>75</v>
      </c>
      <c r="M4" s="9">
        <v>0</v>
      </c>
      <c r="N4" s="9">
        <v>0</v>
      </c>
      <c r="O4" s="9">
        <v>250</v>
      </c>
      <c r="P4" s="9">
        <v>750</v>
      </c>
      <c r="Q4" s="9">
        <v>0</v>
      </c>
      <c r="R4" s="9">
        <v>0</v>
      </c>
      <c r="S4" s="10" t="s">
        <v>293</v>
      </c>
      <c r="T4" s="8">
        <v>40</v>
      </c>
      <c r="U4" s="9">
        <v>40</v>
      </c>
      <c r="V4" s="9">
        <v>40</v>
      </c>
      <c r="W4" s="9">
        <v>40</v>
      </c>
      <c r="X4" s="9"/>
      <c r="Y4" s="10" t="s">
        <v>293</v>
      </c>
      <c r="Z4" s="35" t="s">
        <v>141</v>
      </c>
      <c r="AA4" s="8" t="s">
        <v>141</v>
      </c>
      <c r="AB4" s="9"/>
      <c r="AC4" s="114"/>
      <c r="AD4" s="8">
        <v>60</v>
      </c>
      <c r="AE4" s="9">
        <v>35</v>
      </c>
      <c r="AF4" s="9">
        <v>0</v>
      </c>
      <c r="AG4" s="9">
        <v>0</v>
      </c>
      <c r="AH4" s="9">
        <v>5</v>
      </c>
      <c r="AI4" s="9">
        <v>0</v>
      </c>
      <c r="AJ4" s="9">
        <v>150</v>
      </c>
      <c r="AK4" s="9">
        <v>87.5</v>
      </c>
      <c r="AL4" s="9">
        <v>0</v>
      </c>
      <c r="AM4" s="9">
        <v>0</v>
      </c>
      <c r="AN4" s="9">
        <v>12.5</v>
      </c>
      <c r="AO4" s="9">
        <v>0</v>
      </c>
      <c r="AP4" s="9" t="s">
        <v>293</v>
      </c>
      <c r="AT4" s="8" t="s">
        <v>397</v>
      </c>
      <c r="AU4" s="8" t="s">
        <v>397</v>
      </c>
      <c r="AV4" s="8" t="s">
        <v>397</v>
      </c>
      <c r="AW4" s="8" t="s">
        <v>397</v>
      </c>
      <c r="AX4" s="9" t="s">
        <v>147</v>
      </c>
      <c r="AY4" s="41" t="s">
        <v>397</v>
      </c>
      <c r="AZ4" s="41" t="s">
        <v>397</v>
      </c>
      <c r="BA4" s="41" t="s">
        <v>397</v>
      </c>
      <c r="BB4" s="41" t="s">
        <v>397</v>
      </c>
      <c r="BC4" s="41" t="s">
        <v>397</v>
      </c>
      <c r="BD4" s="9"/>
      <c r="BE4" s="35" t="s">
        <v>152</v>
      </c>
      <c r="BQ4" s="9" t="s">
        <v>292</v>
      </c>
      <c r="BT4" s="35">
        <v>0</v>
      </c>
      <c r="CC4" s="9" t="s">
        <v>141</v>
      </c>
      <c r="CD4" s="9" t="s">
        <v>293</v>
      </c>
      <c r="CF4" s="8" t="s">
        <v>152</v>
      </c>
      <c r="CH4" s="8" t="s">
        <v>141</v>
      </c>
      <c r="CI4" s="9">
        <v>0</v>
      </c>
    </row>
    <row r="5" spans="1:96" x14ac:dyDescent="0.2">
      <c r="A5" s="68">
        <v>23</v>
      </c>
      <c r="B5">
        <v>23</v>
      </c>
      <c r="C5" t="s">
        <v>141</v>
      </c>
      <c r="D5" t="s">
        <v>86</v>
      </c>
      <c r="E5" t="s">
        <v>338</v>
      </c>
      <c r="F5" s="8">
        <f>40000*4.8</f>
        <v>192000</v>
      </c>
      <c r="G5" s="9">
        <f t="shared" si="1"/>
        <v>0</v>
      </c>
      <c r="H5" s="10" t="s">
        <v>141</v>
      </c>
      <c r="I5" s="35" t="s">
        <v>152</v>
      </c>
      <c r="J5" s="35"/>
      <c r="K5" s="9"/>
      <c r="L5" s="9"/>
      <c r="M5" s="9"/>
      <c r="N5" s="9"/>
      <c r="O5" s="9"/>
      <c r="P5" s="9"/>
      <c r="Q5" s="9"/>
      <c r="R5" s="9"/>
      <c r="S5" s="10" t="s">
        <v>292</v>
      </c>
      <c r="T5" s="8"/>
      <c r="U5" s="9"/>
      <c r="V5" s="9"/>
      <c r="W5" s="9"/>
      <c r="X5" s="9"/>
      <c r="Y5" s="10" t="s">
        <v>292</v>
      </c>
      <c r="Z5" s="35" t="s">
        <v>75</v>
      </c>
      <c r="AA5" s="8" t="s">
        <v>75</v>
      </c>
      <c r="AB5" s="9"/>
      <c r="AC5" s="114"/>
      <c r="AP5" s="9" t="s">
        <v>292</v>
      </c>
      <c r="AT5" s="8" t="s">
        <v>397</v>
      </c>
      <c r="AU5" s="8" t="s">
        <v>397</v>
      </c>
      <c r="AV5" s="8" t="s">
        <v>397</v>
      </c>
      <c r="AW5" s="8" t="s">
        <v>397</v>
      </c>
      <c r="AX5" s="8" t="s">
        <v>397</v>
      </c>
      <c r="AY5" s="8" t="s">
        <v>397</v>
      </c>
      <c r="AZ5" s="8" t="s">
        <v>397</v>
      </c>
      <c r="BA5" s="8" t="s">
        <v>397</v>
      </c>
      <c r="BB5" s="8" t="s">
        <v>397</v>
      </c>
      <c r="BC5" s="8" t="s">
        <v>397</v>
      </c>
      <c r="BD5" s="9"/>
      <c r="BE5" s="35" t="s">
        <v>152</v>
      </c>
      <c r="BQ5" s="9" t="s">
        <v>292</v>
      </c>
      <c r="CD5" s="9" t="s">
        <v>292</v>
      </c>
      <c r="CP5" t="s">
        <v>153</v>
      </c>
    </row>
    <row r="6" spans="1:96" s="202" customFormat="1" x14ac:dyDescent="0.2">
      <c r="A6" s="201">
        <v>53</v>
      </c>
      <c r="B6">
        <v>53</v>
      </c>
      <c r="C6" s="202" t="s">
        <v>75</v>
      </c>
      <c r="D6" s="202" t="s">
        <v>86</v>
      </c>
      <c r="E6" s="202" t="s">
        <v>338</v>
      </c>
      <c r="F6" s="173">
        <v>4314</v>
      </c>
      <c r="G6" s="172">
        <f t="shared" si="1"/>
        <v>4314</v>
      </c>
      <c r="H6" s="203"/>
      <c r="I6" s="171" t="s">
        <v>141</v>
      </c>
      <c r="J6" s="171"/>
      <c r="K6" s="172">
        <v>20</v>
      </c>
      <c r="L6" s="172">
        <v>70</v>
      </c>
      <c r="M6" s="172">
        <v>5</v>
      </c>
      <c r="N6" s="172">
        <v>5</v>
      </c>
      <c r="O6" s="172">
        <v>862.80000000000007</v>
      </c>
      <c r="P6" s="172">
        <v>3019.8</v>
      </c>
      <c r="Q6" s="172">
        <v>215.70000000000002</v>
      </c>
      <c r="R6" s="172">
        <v>215.70000000000002</v>
      </c>
      <c r="S6" s="203" t="s">
        <v>293</v>
      </c>
      <c r="T6" s="173">
        <v>36</v>
      </c>
      <c r="U6" s="172">
        <v>36</v>
      </c>
      <c r="V6" s="172">
        <v>36</v>
      </c>
      <c r="W6" s="172"/>
      <c r="X6" s="172"/>
      <c r="Y6" s="203" t="s">
        <v>293</v>
      </c>
      <c r="Z6" s="171" t="s">
        <v>141</v>
      </c>
      <c r="AA6" s="173"/>
      <c r="AB6" s="172"/>
      <c r="AC6" s="172"/>
      <c r="AD6" s="173"/>
      <c r="AE6" s="172"/>
      <c r="AF6" s="172"/>
      <c r="AG6" s="172"/>
      <c r="AH6" s="172"/>
      <c r="AI6" s="172"/>
      <c r="AJ6" s="172"/>
      <c r="AK6" s="172"/>
      <c r="AL6" s="172"/>
      <c r="AM6" s="172"/>
      <c r="AN6" s="172"/>
      <c r="AO6" s="172"/>
      <c r="AP6" s="172" t="s">
        <v>292</v>
      </c>
      <c r="AQ6" s="203"/>
      <c r="AR6" s="172"/>
      <c r="AS6" s="172"/>
      <c r="AT6" s="173" t="s">
        <v>397</v>
      </c>
      <c r="AU6" s="173" t="s">
        <v>397</v>
      </c>
      <c r="AV6" s="173" t="s">
        <v>397</v>
      </c>
      <c r="AW6" s="173" t="s">
        <v>397</v>
      </c>
      <c r="AX6" s="172" t="s">
        <v>147</v>
      </c>
      <c r="AY6" s="173" t="s">
        <v>397</v>
      </c>
      <c r="AZ6" s="173" t="s">
        <v>397</v>
      </c>
      <c r="BA6" s="173" t="s">
        <v>397</v>
      </c>
      <c r="BB6" s="173" t="s">
        <v>147</v>
      </c>
      <c r="BC6" s="172" t="s">
        <v>147</v>
      </c>
      <c r="BD6" s="172"/>
      <c r="BE6" s="171" t="s">
        <v>141</v>
      </c>
      <c r="BF6" s="173"/>
      <c r="BG6" s="173">
        <v>15</v>
      </c>
      <c r="BH6" s="172">
        <v>60</v>
      </c>
      <c r="BI6" s="172">
        <v>15</v>
      </c>
      <c r="BJ6" s="172">
        <v>5</v>
      </c>
      <c r="BK6" s="172">
        <v>5</v>
      </c>
      <c r="BL6" s="172">
        <v>32.355000000000004</v>
      </c>
      <c r="BM6" s="172">
        <v>129.42000000000002</v>
      </c>
      <c r="BN6" s="172">
        <v>32.355000000000004</v>
      </c>
      <c r="BO6" s="172">
        <v>10.785</v>
      </c>
      <c r="BP6" s="172">
        <v>10.785</v>
      </c>
      <c r="BQ6" s="172" t="s">
        <v>293</v>
      </c>
      <c r="BR6" s="203"/>
      <c r="BS6" s="203"/>
      <c r="BT6" s="171"/>
      <c r="BU6" s="173"/>
      <c r="BV6" s="172"/>
      <c r="BW6" s="172"/>
      <c r="BX6" s="172"/>
      <c r="BY6" s="172"/>
      <c r="BZ6" s="172"/>
      <c r="CA6" s="172"/>
      <c r="CB6" s="172"/>
      <c r="CC6" s="172" t="s">
        <v>141</v>
      </c>
      <c r="CD6" s="172" t="s">
        <v>293</v>
      </c>
      <c r="CE6" s="172"/>
      <c r="CF6" s="173" t="s">
        <v>74</v>
      </c>
      <c r="CG6" s="203"/>
      <c r="CH6" s="173"/>
      <c r="CI6" s="172"/>
      <c r="CJ6" s="173"/>
      <c r="CK6" s="172"/>
      <c r="CL6" s="172"/>
      <c r="CM6" s="172"/>
      <c r="CN6" s="172"/>
      <c r="CO6" s="203"/>
      <c r="CP6" s="202" t="s">
        <v>89</v>
      </c>
    </row>
    <row r="7" spans="1:96" x14ac:dyDescent="0.2">
      <c r="A7" s="68">
        <v>70</v>
      </c>
      <c r="B7">
        <v>70</v>
      </c>
      <c r="C7" t="s">
        <v>75</v>
      </c>
      <c r="D7" t="s">
        <v>86</v>
      </c>
      <c r="E7" t="s">
        <v>338</v>
      </c>
      <c r="F7" s="8">
        <v>115000</v>
      </c>
      <c r="G7" s="9">
        <f t="shared" si="1"/>
        <v>115000</v>
      </c>
      <c r="H7" s="10"/>
      <c r="I7" s="170" t="s">
        <v>141</v>
      </c>
      <c r="J7" s="35"/>
      <c r="K7" s="9">
        <v>80</v>
      </c>
      <c r="L7" s="9">
        <v>10</v>
      </c>
      <c r="M7" s="9">
        <v>7</v>
      </c>
      <c r="N7" s="9">
        <v>3</v>
      </c>
      <c r="O7" s="9">
        <v>92000</v>
      </c>
      <c r="P7" s="9">
        <v>11500</v>
      </c>
      <c r="Q7" s="9">
        <v>8050</v>
      </c>
      <c r="R7" s="9">
        <v>3450</v>
      </c>
      <c r="S7" s="10" t="s">
        <v>293</v>
      </c>
      <c r="T7" s="8">
        <v>28</v>
      </c>
      <c r="U7" s="9">
        <v>28</v>
      </c>
      <c r="V7" s="9">
        <v>28</v>
      </c>
      <c r="W7" s="9">
        <v>28</v>
      </c>
      <c r="X7" s="9"/>
      <c r="Y7" s="10" t="s">
        <v>293</v>
      </c>
      <c r="Z7" s="35" t="s">
        <v>75</v>
      </c>
      <c r="AA7" s="8" t="s">
        <v>75</v>
      </c>
      <c r="AB7" s="9"/>
      <c r="AC7" s="114"/>
      <c r="AD7" s="8">
        <v>20</v>
      </c>
      <c r="AE7" s="9">
        <v>30</v>
      </c>
      <c r="AF7" s="9">
        <v>45</v>
      </c>
      <c r="AG7" s="9">
        <v>0</v>
      </c>
      <c r="AH7" s="9">
        <v>5</v>
      </c>
      <c r="AI7" s="9">
        <v>0</v>
      </c>
      <c r="AJ7" s="9">
        <v>18400</v>
      </c>
      <c r="AK7" s="9">
        <v>27600</v>
      </c>
      <c r="AL7" s="9">
        <v>41400</v>
      </c>
      <c r="AM7" s="9">
        <v>0</v>
      </c>
      <c r="AN7" s="9">
        <v>4600</v>
      </c>
      <c r="AO7" s="9">
        <v>0</v>
      </c>
      <c r="AP7" s="9" t="s">
        <v>293</v>
      </c>
      <c r="AT7" s="8" t="s">
        <v>147</v>
      </c>
      <c r="AU7" s="9" t="s">
        <v>147</v>
      </c>
      <c r="AV7" s="9" t="s">
        <v>147</v>
      </c>
      <c r="AW7" s="9" t="s">
        <v>147</v>
      </c>
      <c r="AX7" s="9" t="s">
        <v>147</v>
      </c>
      <c r="AY7" s="9" t="s">
        <v>147</v>
      </c>
      <c r="AZ7" s="9" t="s">
        <v>147</v>
      </c>
      <c r="BA7" s="9" t="s">
        <v>151</v>
      </c>
      <c r="BB7" s="9" t="s">
        <v>147</v>
      </c>
      <c r="BC7" s="169" t="s">
        <v>147</v>
      </c>
      <c r="BD7" s="9"/>
      <c r="BE7" s="170" t="s">
        <v>141</v>
      </c>
      <c r="BQ7" s="9" t="s">
        <v>292</v>
      </c>
      <c r="CD7" s="9" t="s">
        <v>292</v>
      </c>
      <c r="CP7" t="s">
        <v>92</v>
      </c>
      <c r="CQ7" t="s">
        <v>93</v>
      </c>
      <c r="CR7" t="s">
        <v>94</v>
      </c>
    </row>
    <row r="8" spans="1:96" x14ac:dyDescent="0.2">
      <c r="A8" s="68">
        <v>97</v>
      </c>
      <c r="B8">
        <v>97</v>
      </c>
      <c r="C8" t="s">
        <v>141</v>
      </c>
      <c r="D8" t="s">
        <v>102</v>
      </c>
      <c r="E8" t="s">
        <v>338</v>
      </c>
      <c r="F8" s="8">
        <v>450000</v>
      </c>
      <c r="G8" s="9">
        <f t="shared" si="1"/>
        <v>450000</v>
      </c>
      <c r="H8" s="10"/>
      <c r="I8" s="35" t="s">
        <v>152</v>
      </c>
      <c r="J8" s="35"/>
      <c r="K8" s="9">
        <v>0</v>
      </c>
      <c r="L8" s="9">
        <v>30</v>
      </c>
      <c r="M8" s="9">
        <v>55</v>
      </c>
      <c r="N8" s="9">
        <v>15</v>
      </c>
      <c r="O8" s="9">
        <v>0</v>
      </c>
      <c r="P8" s="9">
        <v>135000</v>
      </c>
      <c r="Q8" s="9">
        <v>247500</v>
      </c>
      <c r="R8" s="9">
        <v>67500</v>
      </c>
      <c r="S8" s="10" t="s">
        <v>293</v>
      </c>
      <c r="T8" s="8"/>
      <c r="U8" s="9"/>
      <c r="V8" s="9"/>
      <c r="W8" s="9"/>
      <c r="X8" s="9"/>
      <c r="Y8" s="10" t="s">
        <v>292</v>
      </c>
      <c r="Z8" s="35" t="s">
        <v>141</v>
      </c>
      <c r="AA8" s="8" t="s">
        <v>141</v>
      </c>
      <c r="AB8" s="9"/>
      <c r="AC8" s="114"/>
      <c r="AP8" s="9" t="s">
        <v>292</v>
      </c>
      <c r="AT8" s="8" t="s">
        <v>147</v>
      </c>
      <c r="AU8" s="9" t="s">
        <v>147</v>
      </c>
      <c r="AV8" s="9" t="s">
        <v>147</v>
      </c>
      <c r="AW8" s="41" t="s">
        <v>397</v>
      </c>
      <c r="AX8" s="9" t="s">
        <v>147</v>
      </c>
      <c r="AY8" s="41" t="s">
        <v>397</v>
      </c>
      <c r="AZ8" s="41" t="s">
        <v>397</v>
      </c>
      <c r="BA8" s="41" t="s">
        <v>397</v>
      </c>
      <c r="BB8" s="41" t="s">
        <v>397</v>
      </c>
      <c r="BC8" s="41" t="s">
        <v>397</v>
      </c>
      <c r="BD8" s="9"/>
      <c r="BE8" s="35" t="s">
        <v>152</v>
      </c>
      <c r="BQ8" s="9" t="s">
        <v>292</v>
      </c>
      <c r="CD8" s="9" t="s">
        <v>292</v>
      </c>
      <c r="CP8" t="s">
        <v>154</v>
      </c>
      <c r="CQ8" t="s">
        <v>155</v>
      </c>
      <c r="CR8" t="s">
        <v>156</v>
      </c>
    </row>
    <row r="9" spans="1:96" x14ac:dyDescent="0.2">
      <c r="A9" s="68">
        <v>111</v>
      </c>
      <c r="B9">
        <v>111</v>
      </c>
      <c r="C9" t="s">
        <v>75</v>
      </c>
      <c r="D9" t="s">
        <v>102</v>
      </c>
      <c r="E9" t="s">
        <v>338</v>
      </c>
      <c r="F9" s="8">
        <v>119888.18</v>
      </c>
      <c r="G9" s="9">
        <f t="shared" si="1"/>
        <v>119888.18</v>
      </c>
      <c r="H9" s="10"/>
      <c r="I9" s="35" t="s">
        <v>75</v>
      </c>
      <c r="J9" s="35"/>
      <c r="K9" s="9">
        <v>0.13254282582961455</v>
      </c>
      <c r="L9" s="9">
        <v>82.803893776865806</v>
      </c>
      <c r="M9" s="9">
        <v>10.141829107564302</v>
      </c>
      <c r="N9" s="9">
        <v>6.9217342897402752</v>
      </c>
      <c r="O9" s="9">
        <v>158.90318160769476</v>
      </c>
      <c r="P9" s="9">
        <v>99272.081218217674</v>
      </c>
      <c r="Q9" s="9">
        <v>12158.854335769085</v>
      </c>
      <c r="R9" s="9">
        <v>8298.3412644055425</v>
      </c>
      <c r="S9" s="10" t="s">
        <v>293</v>
      </c>
      <c r="T9" s="8">
        <v>28</v>
      </c>
      <c r="U9" s="9">
        <v>22</v>
      </c>
      <c r="V9" s="9">
        <v>22</v>
      </c>
      <c r="W9" s="9">
        <v>22</v>
      </c>
      <c r="X9" s="9"/>
      <c r="Y9" s="10" t="s">
        <v>293</v>
      </c>
      <c r="Z9" s="35" t="s">
        <v>75</v>
      </c>
      <c r="AA9" s="8" t="s">
        <v>74</v>
      </c>
      <c r="AB9" s="9" t="s">
        <v>103</v>
      </c>
      <c r="AC9" s="114"/>
      <c r="AD9" s="8">
        <v>0</v>
      </c>
      <c r="AE9" s="9">
        <v>5</v>
      </c>
      <c r="AF9" s="9">
        <v>70</v>
      </c>
      <c r="AG9" s="9">
        <v>10</v>
      </c>
      <c r="AH9" s="9">
        <v>10</v>
      </c>
      <c r="AI9" s="9">
        <v>5</v>
      </c>
      <c r="AJ9" s="9">
        <v>0</v>
      </c>
      <c r="AK9" s="9">
        <v>7.9451590803847374</v>
      </c>
      <c r="AL9" s="9">
        <v>111.23222712538633</v>
      </c>
      <c r="AM9" s="9">
        <v>15.890318160769475</v>
      </c>
      <c r="AN9" s="9">
        <v>15.890318160769475</v>
      </c>
      <c r="AO9" s="9">
        <v>7.9451590803847374</v>
      </c>
      <c r="AP9" s="9" t="s">
        <v>293</v>
      </c>
      <c r="AT9" s="8" t="s">
        <v>147</v>
      </c>
      <c r="AU9" s="9" t="s">
        <v>147</v>
      </c>
      <c r="AV9" s="9" t="s">
        <v>147</v>
      </c>
      <c r="AW9" s="41" t="s">
        <v>397</v>
      </c>
      <c r="AX9" s="9" t="s">
        <v>147</v>
      </c>
      <c r="AY9" s="9" t="s">
        <v>147</v>
      </c>
      <c r="AZ9" s="9" t="s">
        <v>147</v>
      </c>
      <c r="BA9" s="9" t="s">
        <v>147</v>
      </c>
      <c r="BB9" s="9" t="s">
        <v>147</v>
      </c>
      <c r="BC9" s="9" t="s">
        <v>147</v>
      </c>
      <c r="BD9" s="9"/>
      <c r="BE9" s="35" t="s">
        <v>75</v>
      </c>
      <c r="BG9" s="8">
        <v>0</v>
      </c>
      <c r="BH9" s="9">
        <v>5</v>
      </c>
      <c r="BI9" s="9">
        <v>90</v>
      </c>
      <c r="BJ9" s="9">
        <v>5</v>
      </c>
      <c r="BK9" s="9">
        <v>0</v>
      </c>
      <c r="BL9" s="9">
        <v>0</v>
      </c>
      <c r="BM9" s="9">
        <v>607.94271678845428</v>
      </c>
      <c r="BN9" s="9">
        <v>10942.968902192177</v>
      </c>
      <c r="BO9" s="9">
        <v>607.94271678845428</v>
      </c>
      <c r="BP9" s="9">
        <v>0</v>
      </c>
      <c r="BQ9" s="9" t="s">
        <v>293</v>
      </c>
      <c r="BT9" s="35">
        <v>0</v>
      </c>
      <c r="BY9" s="9">
        <v>14</v>
      </c>
      <c r="BZ9" s="9">
        <v>4248.7</v>
      </c>
      <c r="CB9" s="9" t="s">
        <v>104</v>
      </c>
      <c r="CD9" s="9" t="s">
        <v>293</v>
      </c>
      <c r="CF9" s="8" t="s">
        <v>74</v>
      </c>
      <c r="CP9" t="s">
        <v>105</v>
      </c>
    </row>
    <row r="10" spans="1:96" x14ac:dyDescent="0.2">
      <c r="A10" s="68">
        <v>163</v>
      </c>
      <c r="B10">
        <v>163</v>
      </c>
      <c r="C10" t="s">
        <v>75</v>
      </c>
      <c r="D10" t="s">
        <v>157</v>
      </c>
      <c r="E10" t="s">
        <v>339</v>
      </c>
      <c r="F10" s="8">
        <v>283240</v>
      </c>
      <c r="G10" s="9">
        <f t="shared" si="1"/>
        <v>283240</v>
      </c>
      <c r="H10" s="10"/>
      <c r="I10" s="35" t="s">
        <v>152</v>
      </c>
      <c r="J10" s="35"/>
      <c r="K10" s="41">
        <v>0</v>
      </c>
      <c r="L10" s="9">
        <v>100</v>
      </c>
      <c r="M10" s="41">
        <v>0</v>
      </c>
      <c r="N10" s="9">
        <v>0</v>
      </c>
      <c r="O10" s="9">
        <v>0</v>
      </c>
      <c r="P10" s="9">
        <v>283240</v>
      </c>
      <c r="Q10" s="9">
        <v>0</v>
      </c>
      <c r="R10" s="9">
        <v>0</v>
      </c>
      <c r="S10" s="10" t="s">
        <v>293</v>
      </c>
      <c r="T10" s="8">
        <v>90</v>
      </c>
      <c r="U10" s="41"/>
      <c r="V10" s="41"/>
      <c r="W10" s="41"/>
      <c r="X10" s="9" t="s">
        <v>297</v>
      </c>
      <c r="Y10" s="10" t="s">
        <v>293</v>
      </c>
      <c r="Z10" s="35" t="s">
        <v>74</v>
      </c>
      <c r="AA10" s="8"/>
      <c r="AB10" s="9"/>
      <c r="AC10" s="114"/>
      <c r="AP10" s="9" t="s">
        <v>292</v>
      </c>
      <c r="AT10" s="8" t="s">
        <v>397</v>
      </c>
      <c r="AU10" s="8" t="s">
        <v>397</v>
      </c>
      <c r="AV10" s="9" t="s">
        <v>147</v>
      </c>
      <c r="AW10" s="41" t="s">
        <v>397</v>
      </c>
      <c r="AX10" s="41" t="s">
        <v>397</v>
      </c>
      <c r="AY10" s="41" t="s">
        <v>397</v>
      </c>
      <c r="AZ10" s="41" t="s">
        <v>397</v>
      </c>
      <c r="BA10" s="41" t="s">
        <v>397</v>
      </c>
      <c r="BB10" s="41" t="s">
        <v>397</v>
      </c>
      <c r="BC10" s="41" t="s">
        <v>397</v>
      </c>
      <c r="BD10" s="9"/>
      <c r="BE10" s="35" t="s">
        <v>152</v>
      </c>
      <c r="BQ10" s="9" t="s">
        <v>292</v>
      </c>
      <c r="CD10" s="9" t="s">
        <v>292</v>
      </c>
      <c r="CP10" t="s">
        <v>158</v>
      </c>
    </row>
    <row r="11" spans="1:96" x14ac:dyDescent="0.2">
      <c r="A11" s="68">
        <v>168</v>
      </c>
      <c r="B11">
        <v>168</v>
      </c>
      <c r="C11" t="s">
        <v>75</v>
      </c>
      <c r="D11" t="s">
        <v>95</v>
      </c>
      <c r="E11" t="s">
        <v>339</v>
      </c>
      <c r="F11" s="8">
        <v>100000</v>
      </c>
      <c r="G11" s="9">
        <f t="shared" si="1"/>
        <v>0</v>
      </c>
      <c r="H11" s="10"/>
      <c r="I11" s="35" t="s">
        <v>152</v>
      </c>
      <c r="J11" s="35"/>
      <c r="K11" s="41"/>
      <c r="L11" s="9"/>
      <c r="M11" s="9"/>
      <c r="N11" s="9"/>
      <c r="O11" s="9"/>
      <c r="P11" s="9"/>
      <c r="Q11" s="9"/>
      <c r="R11" s="9"/>
      <c r="S11" s="10" t="s">
        <v>293</v>
      </c>
      <c r="T11" s="8"/>
      <c r="U11" s="9"/>
      <c r="V11" s="9"/>
      <c r="W11" s="9"/>
      <c r="X11" s="9"/>
      <c r="Y11" s="10" t="s">
        <v>292</v>
      </c>
      <c r="Z11" s="35" t="s">
        <v>74</v>
      </c>
      <c r="AA11" s="8"/>
      <c r="AB11" s="9"/>
      <c r="AC11" s="114"/>
      <c r="AP11" s="9" t="s">
        <v>292</v>
      </c>
      <c r="AT11" s="8" t="s">
        <v>147</v>
      </c>
      <c r="AU11" s="8" t="s">
        <v>147</v>
      </c>
      <c r="AV11" s="8" t="s">
        <v>147</v>
      </c>
      <c r="AW11" s="41" t="s">
        <v>397</v>
      </c>
      <c r="AX11" s="41" t="s">
        <v>397</v>
      </c>
      <c r="AY11" s="41" t="s">
        <v>397</v>
      </c>
      <c r="AZ11" s="41" t="s">
        <v>397</v>
      </c>
      <c r="BA11" s="41" t="s">
        <v>397</v>
      </c>
      <c r="BB11" s="41" t="s">
        <v>397</v>
      </c>
      <c r="BC11" s="41" t="s">
        <v>397</v>
      </c>
      <c r="BD11" s="9"/>
      <c r="BE11" s="35" t="s">
        <v>152</v>
      </c>
      <c r="BQ11" s="9" t="s">
        <v>292</v>
      </c>
      <c r="CD11" s="9" t="s">
        <v>292</v>
      </c>
      <c r="CQ11" t="s">
        <v>96</v>
      </c>
      <c r="CR11" t="s">
        <v>97</v>
      </c>
    </row>
    <row r="12" spans="1:96" x14ac:dyDescent="0.2">
      <c r="A12" s="68">
        <v>174</v>
      </c>
      <c r="B12">
        <v>174</v>
      </c>
      <c r="C12" t="s">
        <v>141</v>
      </c>
      <c r="D12" t="s">
        <v>95</v>
      </c>
      <c r="E12" t="s">
        <v>339</v>
      </c>
      <c r="F12" s="8">
        <v>59040</v>
      </c>
      <c r="G12" s="9">
        <f t="shared" si="1"/>
        <v>59040</v>
      </c>
      <c r="H12" s="10"/>
      <c r="I12" s="35" t="s">
        <v>152</v>
      </c>
      <c r="J12" s="35"/>
      <c r="K12" s="41">
        <v>0</v>
      </c>
      <c r="L12" s="9">
        <v>8.0030487804878057</v>
      </c>
      <c r="M12" s="41">
        <v>0</v>
      </c>
      <c r="N12" s="9">
        <v>91.996951219512198</v>
      </c>
      <c r="O12" s="9">
        <v>0</v>
      </c>
      <c r="P12" s="9">
        <v>4725.0000000000009</v>
      </c>
      <c r="Q12" s="9">
        <v>0</v>
      </c>
      <c r="R12" s="9">
        <v>54315</v>
      </c>
      <c r="S12" s="10" t="s">
        <v>293</v>
      </c>
      <c r="T12" s="8"/>
      <c r="U12" s="9"/>
      <c r="V12" s="9"/>
      <c r="W12" s="9"/>
      <c r="X12" s="9"/>
      <c r="Y12" s="10" t="s">
        <v>292</v>
      </c>
      <c r="Z12" s="35"/>
      <c r="AA12" s="8"/>
      <c r="AB12" s="9"/>
      <c r="AC12" s="114"/>
      <c r="AP12" s="9" t="s">
        <v>292</v>
      </c>
      <c r="AT12" s="8" t="s">
        <v>147</v>
      </c>
      <c r="AU12" s="9" t="s">
        <v>147</v>
      </c>
      <c r="AV12" s="9" t="s">
        <v>147</v>
      </c>
      <c r="AW12" s="41" t="s">
        <v>397</v>
      </c>
      <c r="AX12" s="41" t="s">
        <v>397</v>
      </c>
      <c r="AY12" s="41" t="s">
        <v>397</v>
      </c>
      <c r="AZ12" s="41" t="s">
        <v>397</v>
      </c>
      <c r="BA12" s="41" t="s">
        <v>397</v>
      </c>
      <c r="BB12" s="41" t="s">
        <v>397</v>
      </c>
      <c r="BC12" s="41" t="s">
        <v>397</v>
      </c>
      <c r="BD12" s="9"/>
      <c r="BE12" s="35" t="s">
        <v>152</v>
      </c>
      <c r="BQ12" s="9" t="s">
        <v>292</v>
      </c>
      <c r="CD12" s="9" t="s">
        <v>292</v>
      </c>
      <c r="CP12" t="s">
        <v>159</v>
      </c>
      <c r="CQ12" t="s">
        <v>160</v>
      </c>
      <c r="CR12" t="s">
        <v>161</v>
      </c>
    </row>
    <row r="13" spans="1:96" x14ac:dyDescent="0.2">
      <c r="A13" s="68">
        <v>197</v>
      </c>
      <c r="B13">
        <v>197</v>
      </c>
      <c r="C13" t="s">
        <v>141</v>
      </c>
      <c r="D13" t="s">
        <v>162</v>
      </c>
      <c r="E13" t="s">
        <v>338</v>
      </c>
      <c r="F13" s="8">
        <v>235576</v>
      </c>
      <c r="G13" s="9">
        <f t="shared" si="1"/>
        <v>235576</v>
      </c>
      <c r="H13" s="10"/>
      <c r="I13" s="35" t="s">
        <v>152</v>
      </c>
      <c r="J13" s="35"/>
      <c r="K13" s="9">
        <v>0</v>
      </c>
      <c r="L13" s="9">
        <v>99.179679098378287</v>
      </c>
      <c r="M13" s="9">
        <v>0.46328558523680474</v>
      </c>
      <c r="N13" s="9">
        <v>0.35703531638490987</v>
      </c>
      <c r="O13" s="9">
        <v>0</v>
      </c>
      <c r="P13" s="9">
        <v>233643.52083279565</v>
      </c>
      <c r="Q13" s="9">
        <v>1091.3896502774551</v>
      </c>
      <c r="R13" s="9">
        <v>841.08951692691528</v>
      </c>
      <c r="S13" s="10" t="s">
        <v>293</v>
      </c>
      <c r="T13" s="8">
        <v>85</v>
      </c>
      <c r="U13" s="9">
        <v>85</v>
      </c>
      <c r="V13" s="9">
        <v>85</v>
      </c>
      <c r="W13" s="9">
        <v>85</v>
      </c>
      <c r="X13" s="9"/>
      <c r="Y13" s="10" t="s">
        <v>293</v>
      </c>
      <c r="Z13" s="35" t="s">
        <v>75</v>
      </c>
      <c r="AA13" s="8" t="s">
        <v>75</v>
      </c>
      <c r="AB13" s="9"/>
      <c r="AC13" s="114"/>
      <c r="AP13" s="9" t="s">
        <v>292</v>
      </c>
      <c r="AT13" s="8" t="s">
        <v>397</v>
      </c>
      <c r="AU13" s="41" t="s">
        <v>397</v>
      </c>
      <c r="AV13" s="9" t="s">
        <v>147</v>
      </c>
      <c r="AW13" s="9" t="s">
        <v>147</v>
      </c>
      <c r="AX13" s="9" t="s">
        <v>147</v>
      </c>
      <c r="AY13" s="41" t="s">
        <v>397</v>
      </c>
      <c r="AZ13" s="41" t="s">
        <v>397</v>
      </c>
      <c r="BA13" s="41" t="s">
        <v>397</v>
      </c>
      <c r="BB13" s="41" t="s">
        <v>397</v>
      </c>
      <c r="BC13" s="41" t="s">
        <v>397</v>
      </c>
      <c r="BD13" s="9"/>
      <c r="BE13" s="35" t="s">
        <v>152</v>
      </c>
      <c r="BQ13" s="9" t="s">
        <v>292</v>
      </c>
      <c r="CD13" s="9" t="s">
        <v>292</v>
      </c>
      <c r="CP13" t="s">
        <v>163</v>
      </c>
      <c r="CQ13" t="s">
        <v>164</v>
      </c>
      <c r="CR13" t="s">
        <v>165</v>
      </c>
    </row>
    <row r="14" spans="1:96" x14ac:dyDescent="0.2">
      <c r="A14" s="68">
        <v>207</v>
      </c>
      <c r="B14">
        <v>207</v>
      </c>
      <c r="C14" t="s">
        <v>75</v>
      </c>
      <c r="D14" t="s">
        <v>106</v>
      </c>
      <c r="E14" t="s">
        <v>338</v>
      </c>
      <c r="F14" s="8">
        <v>22163</v>
      </c>
      <c r="G14" s="9">
        <f t="shared" si="1"/>
        <v>22359</v>
      </c>
      <c r="H14" s="10"/>
      <c r="I14" s="35" t="s">
        <v>75</v>
      </c>
      <c r="J14" s="35"/>
      <c r="K14" s="9">
        <v>0</v>
      </c>
      <c r="L14" s="9">
        <v>82.29348360839036</v>
      </c>
      <c r="M14" s="9">
        <v>2.4822219240574266</v>
      </c>
      <c r="N14" s="9">
        <v>15.224294467552216</v>
      </c>
      <c r="O14" s="9">
        <v>0</v>
      </c>
      <c r="P14" s="9">
        <v>18400</v>
      </c>
      <c r="Q14" s="9">
        <v>555</v>
      </c>
      <c r="R14" s="9">
        <v>3404</v>
      </c>
      <c r="S14" s="10" t="s">
        <v>293</v>
      </c>
      <c r="T14" s="8">
        <v>30</v>
      </c>
      <c r="U14" s="9"/>
      <c r="V14" s="9"/>
      <c r="W14" s="9"/>
      <c r="X14" s="9" t="s">
        <v>297</v>
      </c>
      <c r="Y14" s="10" t="s">
        <v>293</v>
      </c>
      <c r="Z14" s="35" t="s">
        <v>75</v>
      </c>
      <c r="AA14" s="8" t="s">
        <v>74</v>
      </c>
      <c r="AB14" s="9" t="s">
        <v>107</v>
      </c>
      <c r="AC14" s="114"/>
      <c r="AP14" s="9" t="s">
        <v>292</v>
      </c>
      <c r="AT14" s="8" t="s">
        <v>147</v>
      </c>
      <c r="AU14" s="8" t="s">
        <v>147</v>
      </c>
      <c r="AV14" s="8" t="s">
        <v>147</v>
      </c>
      <c r="AW14" s="8" t="s">
        <v>147</v>
      </c>
      <c r="AX14" s="8" t="s">
        <v>147</v>
      </c>
      <c r="AY14" s="8" t="s">
        <v>147</v>
      </c>
      <c r="AZ14" s="41" t="s">
        <v>397</v>
      </c>
      <c r="BA14" s="41" t="s">
        <v>397</v>
      </c>
      <c r="BB14" s="9" t="s">
        <v>147</v>
      </c>
      <c r="BC14" s="169" t="s">
        <v>397</v>
      </c>
      <c r="BD14" s="9"/>
      <c r="BE14" s="35" t="s">
        <v>75</v>
      </c>
      <c r="BQ14" s="9" t="s">
        <v>292</v>
      </c>
      <c r="BT14" s="35">
        <v>0</v>
      </c>
      <c r="CC14" s="9" t="s">
        <v>141</v>
      </c>
      <c r="CD14" s="9" t="s">
        <v>293</v>
      </c>
      <c r="CF14" s="8" t="s">
        <v>74</v>
      </c>
      <c r="CP14" t="s">
        <v>108</v>
      </c>
    </row>
    <row r="15" spans="1:96" x14ac:dyDescent="0.2">
      <c r="A15" s="68">
        <v>251</v>
      </c>
      <c r="B15">
        <v>251</v>
      </c>
      <c r="C15" t="s">
        <v>141</v>
      </c>
      <c r="D15" t="s">
        <v>106</v>
      </c>
      <c r="E15" t="s">
        <v>338</v>
      </c>
      <c r="F15" s="8">
        <v>100000</v>
      </c>
      <c r="G15" s="9">
        <f t="shared" si="1"/>
        <v>0</v>
      </c>
      <c r="H15" s="10"/>
      <c r="I15" s="171" t="s">
        <v>152</v>
      </c>
      <c r="J15" s="35"/>
      <c r="K15" s="9"/>
      <c r="L15" s="9"/>
      <c r="M15" s="9"/>
      <c r="N15" s="9"/>
      <c r="O15" s="9"/>
      <c r="P15" s="9"/>
      <c r="Q15" s="9"/>
      <c r="R15" s="9"/>
      <c r="S15" s="10" t="s">
        <v>292</v>
      </c>
      <c r="T15" s="8"/>
      <c r="U15" s="9"/>
      <c r="V15" s="9"/>
      <c r="W15" s="9"/>
      <c r="X15" s="9"/>
      <c r="Y15" s="10" t="s">
        <v>292</v>
      </c>
      <c r="Z15" s="35"/>
      <c r="AA15" s="8"/>
      <c r="AB15" s="9"/>
      <c r="AC15" s="114"/>
      <c r="AP15" s="9" t="s">
        <v>292</v>
      </c>
      <c r="AT15" s="8" t="s">
        <v>397</v>
      </c>
      <c r="AU15" s="8" t="s">
        <v>397</v>
      </c>
      <c r="AV15" s="8" t="s">
        <v>397</v>
      </c>
      <c r="AW15" s="8" t="s">
        <v>397</v>
      </c>
      <c r="AX15" s="8" t="s">
        <v>397</v>
      </c>
      <c r="AY15" s="41" t="s">
        <v>397</v>
      </c>
      <c r="AZ15" s="41" t="s">
        <v>397</v>
      </c>
      <c r="BA15" s="41" t="s">
        <v>397</v>
      </c>
      <c r="BB15" s="41" t="s">
        <v>397</v>
      </c>
      <c r="BC15" s="41" t="s">
        <v>397</v>
      </c>
      <c r="BD15" s="9"/>
      <c r="BE15" s="171" t="s">
        <v>152</v>
      </c>
      <c r="BQ15" s="9" t="s">
        <v>292</v>
      </c>
      <c r="CD15" s="9" t="s">
        <v>292</v>
      </c>
    </row>
    <row r="16" spans="1:96" x14ac:dyDescent="0.2">
      <c r="A16" s="68">
        <v>259</v>
      </c>
      <c r="B16">
        <v>259</v>
      </c>
      <c r="C16" t="s">
        <v>141</v>
      </c>
      <c r="D16" t="s">
        <v>106</v>
      </c>
      <c r="E16" t="s">
        <v>338</v>
      </c>
      <c r="F16" s="8">
        <v>10000</v>
      </c>
      <c r="G16" s="9">
        <f t="shared" si="1"/>
        <v>10000</v>
      </c>
      <c r="H16" s="10"/>
      <c r="I16" s="35" t="s">
        <v>152</v>
      </c>
      <c r="J16" s="35"/>
      <c r="K16" s="9">
        <v>10</v>
      </c>
      <c r="L16" s="9">
        <v>90</v>
      </c>
      <c r="M16" s="9">
        <v>0</v>
      </c>
      <c r="N16" s="9">
        <v>0</v>
      </c>
      <c r="O16" s="9">
        <v>1000</v>
      </c>
      <c r="P16" s="9">
        <v>9000</v>
      </c>
      <c r="Q16" s="9">
        <v>0</v>
      </c>
      <c r="R16" s="9">
        <v>0</v>
      </c>
      <c r="S16" s="10" t="s">
        <v>293</v>
      </c>
      <c r="T16" s="8">
        <f>9*4.8</f>
        <v>43.199999999999996</v>
      </c>
      <c r="U16" s="9"/>
      <c r="V16" s="9"/>
      <c r="W16" s="9"/>
      <c r="X16" s="9" t="s">
        <v>141</v>
      </c>
      <c r="Y16" s="10" t="s">
        <v>293</v>
      </c>
      <c r="Z16" s="35" t="s">
        <v>141</v>
      </c>
      <c r="AA16" s="8" t="s">
        <v>141</v>
      </c>
      <c r="AB16" s="9"/>
      <c r="AC16" s="114"/>
      <c r="AD16" s="8">
        <v>8</v>
      </c>
      <c r="AE16" s="9">
        <v>90</v>
      </c>
      <c r="AF16" s="9">
        <v>1</v>
      </c>
      <c r="AG16" s="9">
        <v>0</v>
      </c>
      <c r="AH16" s="9">
        <v>1</v>
      </c>
      <c r="AI16" s="9">
        <v>0</v>
      </c>
      <c r="AJ16" s="9">
        <v>80</v>
      </c>
      <c r="AK16" s="9">
        <v>900</v>
      </c>
      <c r="AL16" s="9">
        <v>10</v>
      </c>
      <c r="AM16" s="9">
        <v>0</v>
      </c>
      <c r="AN16" s="9">
        <v>10</v>
      </c>
      <c r="AO16" s="9">
        <v>0</v>
      </c>
      <c r="AP16" s="9" t="s">
        <v>293</v>
      </c>
      <c r="AT16" s="8" t="s">
        <v>147</v>
      </c>
      <c r="AU16" s="9" t="s">
        <v>147</v>
      </c>
      <c r="AV16" s="9" t="s">
        <v>147</v>
      </c>
      <c r="AW16" s="41" t="s">
        <v>397</v>
      </c>
      <c r="AX16" s="9" t="s">
        <v>147</v>
      </c>
      <c r="AY16" s="41" t="s">
        <v>397</v>
      </c>
      <c r="AZ16" s="41" t="s">
        <v>397</v>
      </c>
      <c r="BA16" s="41" t="s">
        <v>397</v>
      </c>
      <c r="BB16" s="41" t="s">
        <v>397</v>
      </c>
      <c r="BC16" s="41" t="s">
        <v>397</v>
      </c>
      <c r="BD16" s="9"/>
      <c r="BE16" s="35" t="s">
        <v>152</v>
      </c>
      <c r="BQ16" s="9" t="s">
        <v>292</v>
      </c>
      <c r="CC16" s="9" t="s">
        <v>141</v>
      </c>
      <c r="CD16" s="9" t="s">
        <v>293</v>
      </c>
      <c r="CF16" s="8" t="s">
        <v>152</v>
      </c>
      <c r="CH16" s="8" t="s">
        <v>141</v>
      </c>
      <c r="CI16" s="8">
        <v>0</v>
      </c>
      <c r="CP16" t="s">
        <v>166</v>
      </c>
      <c r="CR16" t="s">
        <v>167</v>
      </c>
    </row>
    <row r="17" spans="1:96" x14ac:dyDescent="0.2">
      <c r="A17" s="68">
        <v>266</v>
      </c>
      <c r="B17">
        <v>266</v>
      </c>
      <c r="C17" t="s">
        <v>75</v>
      </c>
      <c r="D17" t="s">
        <v>125</v>
      </c>
      <c r="E17" t="s">
        <v>338</v>
      </c>
      <c r="F17" s="8">
        <v>16000</v>
      </c>
      <c r="G17" s="9">
        <f t="shared" si="1"/>
        <v>16000</v>
      </c>
      <c r="H17" s="10"/>
      <c r="I17" s="35" t="s">
        <v>152</v>
      </c>
      <c r="J17" s="35"/>
      <c r="K17" s="9">
        <v>100</v>
      </c>
      <c r="L17" s="9">
        <v>0</v>
      </c>
      <c r="M17" s="9">
        <v>0</v>
      </c>
      <c r="N17" s="9">
        <v>0</v>
      </c>
      <c r="O17" s="9">
        <v>16000</v>
      </c>
      <c r="P17" s="9">
        <v>0</v>
      </c>
      <c r="Q17" s="9">
        <v>0</v>
      </c>
      <c r="R17" s="9">
        <v>0</v>
      </c>
      <c r="S17" s="10" t="s">
        <v>293</v>
      </c>
      <c r="T17" s="8">
        <v>43.62</v>
      </c>
      <c r="U17" s="9"/>
      <c r="V17" s="9"/>
      <c r="W17" s="9"/>
      <c r="X17" s="9"/>
      <c r="Y17" s="10" t="s">
        <v>293</v>
      </c>
      <c r="Z17" s="35" t="s">
        <v>75</v>
      </c>
      <c r="AA17" s="8" t="s">
        <v>75</v>
      </c>
      <c r="AB17" s="9"/>
      <c r="AC17" s="114"/>
      <c r="AD17" s="8">
        <v>9.0909090909090917</v>
      </c>
      <c r="AE17" s="9">
        <v>18.181818181818183</v>
      </c>
      <c r="AF17" s="9">
        <v>36.363636363636367</v>
      </c>
      <c r="AG17" s="9">
        <v>18.181818181818183</v>
      </c>
      <c r="AH17" s="9">
        <v>18.181818181818183</v>
      </c>
      <c r="AI17" s="9">
        <v>0</v>
      </c>
      <c r="AJ17" s="9">
        <v>1454.5454545454547</v>
      </c>
      <c r="AK17" s="9">
        <v>2909.0909090909095</v>
      </c>
      <c r="AL17" s="9">
        <v>5818.1818181818189</v>
      </c>
      <c r="AM17" s="9">
        <v>2909.0909090909095</v>
      </c>
      <c r="AN17" s="9">
        <v>2909.0909090909095</v>
      </c>
      <c r="AO17" s="9">
        <v>0</v>
      </c>
      <c r="AP17" s="9" t="s">
        <v>293</v>
      </c>
      <c r="AQ17" s="10" t="s">
        <v>141</v>
      </c>
      <c r="AT17" s="8" t="s">
        <v>397</v>
      </c>
      <c r="AU17" s="8" t="s">
        <v>397</v>
      </c>
      <c r="AV17" s="8" t="s">
        <v>397</v>
      </c>
      <c r="AW17" s="8" t="s">
        <v>397</v>
      </c>
      <c r="AX17" s="9" t="s">
        <v>147</v>
      </c>
      <c r="AY17" s="41" t="s">
        <v>397</v>
      </c>
      <c r="AZ17" s="41" t="s">
        <v>397</v>
      </c>
      <c r="BA17" s="41" t="s">
        <v>397</v>
      </c>
      <c r="BB17" s="41" t="s">
        <v>397</v>
      </c>
      <c r="BC17" s="41" t="s">
        <v>397</v>
      </c>
      <c r="BD17" s="9"/>
      <c r="BE17" s="35" t="s">
        <v>152</v>
      </c>
      <c r="BQ17" s="9" t="s">
        <v>292</v>
      </c>
      <c r="CD17" s="9" t="s">
        <v>292</v>
      </c>
      <c r="CP17" t="s">
        <v>168</v>
      </c>
      <c r="CQ17" t="s">
        <v>169</v>
      </c>
      <c r="CR17" t="s">
        <v>170</v>
      </c>
    </row>
    <row r="18" spans="1:96" x14ac:dyDescent="0.2">
      <c r="A18" s="68">
        <v>267</v>
      </c>
      <c r="B18">
        <v>267</v>
      </c>
      <c r="C18" t="s">
        <v>75</v>
      </c>
      <c r="D18" t="s">
        <v>125</v>
      </c>
      <c r="E18" t="s">
        <v>338</v>
      </c>
      <c r="F18" s="8">
        <v>200000</v>
      </c>
      <c r="G18" s="9">
        <f t="shared" si="1"/>
        <v>0</v>
      </c>
      <c r="H18" s="10"/>
      <c r="I18" s="171" t="s">
        <v>152</v>
      </c>
      <c r="J18" s="35"/>
      <c r="K18" s="9"/>
      <c r="L18" s="9"/>
      <c r="M18" s="9"/>
      <c r="N18" s="9"/>
      <c r="O18" s="9"/>
      <c r="P18" s="9"/>
      <c r="Q18" s="9"/>
      <c r="R18" s="9"/>
      <c r="S18" s="10" t="s">
        <v>292</v>
      </c>
      <c r="T18" s="8"/>
      <c r="U18" s="9"/>
      <c r="V18" s="9"/>
      <c r="W18" s="9"/>
      <c r="X18" s="9"/>
      <c r="Y18" s="10" t="s">
        <v>292</v>
      </c>
      <c r="Z18" s="35"/>
      <c r="AA18" s="8"/>
      <c r="AB18" s="9"/>
      <c r="AC18" s="114"/>
      <c r="AP18" s="9" t="s">
        <v>292</v>
      </c>
      <c r="AT18" s="8" t="s">
        <v>397</v>
      </c>
      <c r="AU18" s="8" t="s">
        <v>397</v>
      </c>
      <c r="AV18" s="8" t="s">
        <v>397</v>
      </c>
      <c r="AW18" s="8" t="s">
        <v>397</v>
      </c>
      <c r="AX18" s="41" t="s">
        <v>397</v>
      </c>
      <c r="AY18" s="41" t="s">
        <v>397</v>
      </c>
      <c r="AZ18" s="41" t="s">
        <v>397</v>
      </c>
      <c r="BA18" s="41" t="s">
        <v>397</v>
      </c>
      <c r="BB18" s="41" t="s">
        <v>397</v>
      </c>
      <c r="BC18" s="41" t="s">
        <v>397</v>
      </c>
      <c r="BD18" s="9"/>
      <c r="BE18" s="171" t="s">
        <v>152</v>
      </c>
      <c r="BQ18" s="9" t="s">
        <v>292</v>
      </c>
      <c r="CD18" s="9" t="s">
        <v>292</v>
      </c>
    </row>
    <row r="19" spans="1:96" x14ac:dyDescent="0.2">
      <c r="A19" s="68">
        <v>303</v>
      </c>
      <c r="B19">
        <v>303</v>
      </c>
      <c r="C19" t="s">
        <v>141</v>
      </c>
      <c r="D19" t="s">
        <v>125</v>
      </c>
      <c r="E19" t="s">
        <v>338</v>
      </c>
      <c r="F19" s="8">
        <v>353000</v>
      </c>
      <c r="G19" s="9">
        <f t="shared" si="1"/>
        <v>0</v>
      </c>
      <c r="H19" s="10"/>
      <c r="I19" s="171" t="s">
        <v>152</v>
      </c>
      <c r="J19" s="35"/>
      <c r="K19" s="9"/>
      <c r="L19" s="9"/>
      <c r="M19" s="9"/>
      <c r="N19" s="9"/>
      <c r="O19" s="9"/>
      <c r="P19" s="9"/>
      <c r="Q19" s="9"/>
      <c r="R19" s="9"/>
      <c r="S19" s="10" t="s">
        <v>292</v>
      </c>
      <c r="T19" s="8"/>
      <c r="U19" s="9"/>
      <c r="V19" s="9"/>
      <c r="W19" s="9"/>
      <c r="X19" s="9"/>
      <c r="Y19" s="10" t="s">
        <v>292</v>
      </c>
      <c r="Z19" s="35"/>
      <c r="AA19" s="8"/>
      <c r="AB19" s="9"/>
      <c r="AC19" s="114"/>
      <c r="AP19" s="9" t="s">
        <v>292</v>
      </c>
      <c r="AT19" s="8" t="s">
        <v>397</v>
      </c>
      <c r="AU19" s="8" t="s">
        <v>397</v>
      </c>
      <c r="AV19" s="8" t="s">
        <v>397</v>
      </c>
      <c r="AW19" s="8" t="s">
        <v>397</v>
      </c>
      <c r="AX19" s="41" t="s">
        <v>397</v>
      </c>
      <c r="AY19" s="41" t="s">
        <v>397</v>
      </c>
      <c r="AZ19" s="41" t="s">
        <v>397</v>
      </c>
      <c r="BA19" s="41" t="s">
        <v>397</v>
      </c>
      <c r="BB19" s="41" t="s">
        <v>397</v>
      </c>
      <c r="BC19" s="41" t="s">
        <v>397</v>
      </c>
      <c r="BD19" s="9"/>
      <c r="BE19" s="171" t="s">
        <v>152</v>
      </c>
      <c r="BQ19" s="9" t="s">
        <v>292</v>
      </c>
      <c r="CD19" s="9" t="s">
        <v>292</v>
      </c>
    </row>
    <row r="20" spans="1:96" x14ac:dyDescent="0.2">
      <c r="A20" s="68">
        <v>376</v>
      </c>
      <c r="B20">
        <v>376</v>
      </c>
      <c r="C20" t="s">
        <v>75</v>
      </c>
      <c r="D20" t="s">
        <v>90</v>
      </c>
      <c r="E20" t="s">
        <v>338</v>
      </c>
      <c r="F20" s="8">
        <v>100000</v>
      </c>
      <c r="G20" s="9">
        <f t="shared" si="1"/>
        <v>100000</v>
      </c>
      <c r="H20" s="10"/>
      <c r="I20" s="35" t="s">
        <v>152</v>
      </c>
      <c r="J20" s="35"/>
      <c r="K20" s="9">
        <v>5</v>
      </c>
      <c r="L20" s="9">
        <v>95</v>
      </c>
      <c r="M20" s="9">
        <v>0</v>
      </c>
      <c r="N20" s="9">
        <v>0</v>
      </c>
      <c r="O20" s="9">
        <v>5000</v>
      </c>
      <c r="P20" s="9">
        <v>95000</v>
      </c>
      <c r="Q20" s="9">
        <v>0</v>
      </c>
      <c r="R20" s="9">
        <v>0</v>
      </c>
      <c r="S20" s="10" t="s">
        <v>293</v>
      </c>
      <c r="T20" s="8"/>
      <c r="U20" s="9"/>
      <c r="V20" s="9"/>
      <c r="W20" s="9"/>
      <c r="X20" s="9"/>
      <c r="Y20" s="10" t="s">
        <v>292</v>
      </c>
      <c r="Z20" s="35" t="s">
        <v>75</v>
      </c>
      <c r="AA20" s="8" t="s">
        <v>75</v>
      </c>
      <c r="AB20" s="9"/>
      <c r="AC20" s="114"/>
      <c r="AD20" s="8">
        <v>5</v>
      </c>
      <c r="AE20" s="9">
        <v>5</v>
      </c>
      <c r="AF20" s="9">
        <v>70</v>
      </c>
      <c r="AG20" s="9">
        <v>0</v>
      </c>
      <c r="AH20" s="9">
        <v>20</v>
      </c>
      <c r="AI20" s="9">
        <v>0</v>
      </c>
      <c r="AJ20" s="9">
        <v>250</v>
      </c>
      <c r="AK20" s="9">
        <v>250</v>
      </c>
      <c r="AL20" s="9">
        <v>3500</v>
      </c>
      <c r="AM20" s="9">
        <v>0</v>
      </c>
      <c r="AN20" s="9">
        <v>1000</v>
      </c>
      <c r="AO20" s="9">
        <v>0</v>
      </c>
      <c r="AP20" s="9" t="s">
        <v>293</v>
      </c>
      <c r="AT20" s="8" t="s">
        <v>397</v>
      </c>
      <c r="AU20" s="8" t="s">
        <v>397</v>
      </c>
      <c r="AV20" s="8" t="s">
        <v>397</v>
      </c>
      <c r="AW20" s="8" t="s">
        <v>397</v>
      </c>
      <c r="AX20" s="41" t="s">
        <v>397</v>
      </c>
      <c r="AY20" s="41" t="s">
        <v>397</v>
      </c>
      <c r="AZ20" s="41" t="s">
        <v>397</v>
      </c>
      <c r="BA20" s="41" t="s">
        <v>397</v>
      </c>
      <c r="BB20" s="41" t="s">
        <v>397</v>
      </c>
      <c r="BC20" s="41" t="s">
        <v>397</v>
      </c>
      <c r="BD20" s="9"/>
      <c r="BE20" s="35" t="s">
        <v>152</v>
      </c>
      <c r="BQ20" s="9" t="s">
        <v>292</v>
      </c>
      <c r="CD20" s="9" t="s">
        <v>292</v>
      </c>
      <c r="CP20" t="s">
        <v>91</v>
      </c>
    </row>
    <row r="21" spans="1:96" x14ac:dyDescent="0.2">
      <c r="A21" s="68">
        <v>398</v>
      </c>
      <c r="B21">
        <v>398</v>
      </c>
      <c r="C21" t="s">
        <v>141</v>
      </c>
      <c r="D21" t="s">
        <v>90</v>
      </c>
      <c r="E21" t="s">
        <v>338</v>
      </c>
      <c r="F21" s="8">
        <v>50000</v>
      </c>
      <c r="G21" s="9">
        <f t="shared" si="1"/>
        <v>50000</v>
      </c>
      <c r="H21" s="10"/>
      <c r="I21" s="35" t="s">
        <v>141</v>
      </c>
      <c r="J21" s="35"/>
      <c r="K21" s="9">
        <v>0</v>
      </c>
      <c r="L21" s="9">
        <v>67</v>
      </c>
      <c r="M21" s="9">
        <v>6</v>
      </c>
      <c r="N21" s="9">
        <v>27</v>
      </c>
      <c r="O21" s="9">
        <v>0</v>
      </c>
      <c r="P21" s="9">
        <v>33500</v>
      </c>
      <c r="Q21" s="9">
        <v>3000</v>
      </c>
      <c r="R21" s="9">
        <v>13500</v>
      </c>
      <c r="S21" s="10" t="s">
        <v>293</v>
      </c>
      <c r="T21" s="8">
        <f>3.5*4.8</f>
        <v>16.8</v>
      </c>
      <c r="U21" s="9">
        <f>3.5*4.8</f>
        <v>16.8</v>
      </c>
      <c r="V21" s="9">
        <f>4*3.5</f>
        <v>14</v>
      </c>
      <c r="W21" s="9"/>
      <c r="X21" s="9" t="s">
        <v>141</v>
      </c>
      <c r="Y21" s="10" t="s">
        <v>293</v>
      </c>
      <c r="Z21" s="35" t="s">
        <v>141</v>
      </c>
      <c r="AA21" s="8" t="s">
        <v>141</v>
      </c>
      <c r="AB21" s="9"/>
      <c r="AC21" s="114"/>
      <c r="AP21" s="9" t="s">
        <v>292</v>
      </c>
      <c r="AT21" s="8" t="s">
        <v>397</v>
      </c>
      <c r="AU21" s="8" t="s">
        <v>397</v>
      </c>
      <c r="AV21" s="8" t="s">
        <v>397</v>
      </c>
      <c r="AW21" s="8" t="s">
        <v>397</v>
      </c>
      <c r="AX21" s="9" t="s">
        <v>147</v>
      </c>
      <c r="AY21" s="41" t="s">
        <v>397</v>
      </c>
      <c r="AZ21" s="41" t="s">
        <v>397</v>
      </c>
      <c r="BA21" s="41" t="s">
        <v>397</v>
      </c>
      <c r="BB21" s="9" t="s">
        <v>147</v>
      </c>
      <c r="BC21" s="9" t="s">
        <v>147</v>
      </c>
      <c r="BD21" s="9"/>
      <c r="BE21" s="35" t="s">
        <v>141</v>
      </c>
      <c r="BG21" s="8">
        <v>100</v>
      </c>
      <c r="BH21" s="9">
        <v>0</v>
      </c>
      <c r="BI21" s="9">
        <v>0</v>
      </c>
      <c r="BJ21" s="9">
        <v>0</v>
      </c>
      <c r="BK21" s="9">
        <v>0</v>
      </c>
      <c r="BL21" s="9">
        <v>3000</v>
      </c>
      <c r="BM21" s="9">
        <v>0</v>
      </c>
      <c r="BN21" s="9">
        <v>0</v>
      </c>
      <c r="BO21" s="9">
        <v>0</v>
      </c>
      <c r="BP21" s="9">
        <v>0</v>
      </c>
      <c r="BQ21" s="9" t="s">
        <v>293</v>
      </c>
      <c r="BT21" s="35">
        <v>3300</v>
      </c>
      <c r="CC21" s="9" t="s">
        <v>141</v>
      </c>
      <c r="CD21" s="9" t="s">
        <v>293</v>
      </c>
      <c r="CF21" s="8" t="s">
        <v>152</v>
      </c>
      <c r="CH21" s="8" t="s">
        <v>141</v>
      </c>
      <c r="CI21" s="9">
        <v>0</v>
      </c>
      <c r="CP21" t="s">
        <v>171</v>
      </c>
    </row>
    <row r="22" spans="1:96" x14ac:dyDescent="0.2">
      <c r="A22" s="68">
        <v>407</v>
      </c>
      <c r="B22">
        <v>407</v>
      </c>
      <c r="C22" t="s">
        <v>172</v>
      </c>
      <c r="D22" t="s">
        <v>79</v>
      </c>
      <c r="E22" t="s">
        <v>340</v>
      </c>
      <c r="F22" s="8">
        <v>2000</v>
      </c>
      <c r="G22" s="9">
        <f t="shared" si="1"/>
        <v>2000</v>
      </c>
      <c r="H22" s="10"/>
      <c r="I22" s="170" t="s">
        <v>141</v>
      </c>
      <c r="J22" s="35"/>
      <c r="K22" s="9">
        <v>25</v>
      </c>
      <c r="L22" s="9">
        <v>50</v>
      </c>
      <c r="M22" s="9">
        <v>25</v>
      </c>
      <c r="N22" s="9">
        <v>0</v>
      </c>
      <c r="O22" s="9">
        <v>500</v>
      </c>
      <c r="P22" s="9">
        <v>1000</v>
      </c>
      <c r="Q22" s="9">
        <v>500</v>
      </c>
      <c r="R22" s="9">
        <v>0</v>
      </c>
      <c r="S22" s="10" t="s">
        <v>293</v>
      </c>
      <c r="T22" s="8"/>
      <c r="U22" s="9"/>
      <c r="V22" s="9"/>
      <c r="W22" s="9"/>
      <c r="X22" s="9"/>
      <c r="Y22" s="10" t="s">
        <v>292</v>
      </c>
      <c r="Z22" s="35" t="s">
        <v>141</v>
      </c>
      <c r="AA22" s="8" t="s">
        <v>141</v>
      </c>
      <c r="AB22" s="9"/>
      <c r="AC22" s="114"/>
      <c r="AD22" s="8">
        <v>25</v>
      </c>
      <c r="AE22" s="9">
        <v>25</v>
      </c>
      <c r="AF22" s="9">
        <v>30</v>
      </c>
      <c r="AG22" s="9">
        <v>10</v>
      </c>
      <c r="AH22" s="9">
        <v>10</v>
      </c>
      <c r="AI22" s="9">
        <v>0</v>
      </c>
      <c r="AJ22" s="9">
        <v>125</v>
      </c>
      <c r="AK22" s="9">
        <v>125</v>
      </c>
      <c r="AL22" s="9">
        <v>150</v>
      </c>
      <c r="AM22" s="9">
        <v>50</v>
      </c>
      <c r="AN22" s="9">
        <v>50</v>
      </c>
      <c r="AO22" s="9">
        <v>0</v>
      </c>
      <c r="AP22" s="9" t="s">
        <v>293</v>
      </c>
      <c r="AT22" s="8" t="s">
        <v>397</v>
      </c>
      <c r="AU22" s="8" t="s">
        <v>397</v>
      </c>
      <c r="AV22" s="8" t="s">
        <v>397</v>
      </c>
      <c r="AW22" s="8" t="s">
        <v>397</v>
      </c>
      <c r="AX22" s="9" t="s">
        <v>147</v>
      </c>
      <c r="AY22" s="41" t="s">
        <v>397</v>
      </c>
      <c r="AZ22" s="41" t="s">
        <v>397</v>
      </c>
      <c r="BA22" s="41" t="s">
        <v>397</v>
      </c>
      <c r="BB22" s="9" t="s">
        <v>147</v>
      </c>
      <c r="BC22" s="169" t="s">
        <v>147</v>
      </c>
      <c r="BD22" s="9"/>
      <c r="BE22" s="170" t="s">
        <v>141</v>
      </c>
      <c r="BQ22" s="9" t="s">
        <v>292</v>
      </c>
      <c r="CD22" s="9" t="s">
        <v>292</v>
      </c>
    </row>
    <row r="23" spans="1:96" x14ac:dyDescent="0.2">
      <c r="A23" s="68">
        <v>409</v>
      </c>
      <c r="B23">
        <v>409</v>
      </c>
      <c r="C23" t="s">
        <v>75</v>
      </c>
      <c r="D23" t="s">
        <v>79</v>
      </c>
      <c r="E23" t="s">
        <v>340</v>
      </c>
      <c r="F23" s="8">
        <v>1680</v>
      </c>
      <c r="G23" s="9">
        <f t="shared" si="1"/>
        <v>1680</v>
      </c>
      <c r="H23" s="10"/>
      <c r="I23" s="35" t="s">
        <v>141</v>
      </c>
      <c r="J23" s="35"/>
      <c r="K23" s="9">
        <v>25</v>
      </c>
      <c r="L23" s="9">
        <v>50</v>
      </c>
      <c r="M23" s="9">
        <v>25</v>
      </c>
      <c r="N23" s="9">
        <v>0</v>
      </c>
      <c r="O23" s="9">
        <v>420</v>
      </c>
      <c r="P23" s="9">
        <v>840</v>
      </c>
      <c r="Q23" s="9">
        <v>420</v>
      </c>
      <c r="R23" s="9">
        <v>0</v>
      </c>
      <c r="S23" s="10" t="s">
        <v>293</v>
      </c>
      <c r="T23" s="8">
        <v>25</v>
      </c>
      <c r="U23" s="9"/>
      <c r="V23" s="9"/>
      <c r="W23" s="9"/>
      <c r="X23" s="9" t="s">
        <v>297</v>
      </c>
      <c r="Y23" s="10" t="s">
        <v>293</v>
      </c>
      <c r="Z23" s="35" t="s">
        <v>75</v>
      </c>
      <c r="AA23" s="8" t="s">
        <v>75</v>
      </c>
      <c r="AB23" s="9"/>
      <c r="AC23" s="114"/>
      <c r="AD23" s="8">
        <v>0</v>
      </c>
      <c r="AE23" s="9">
        <v>80</v>
      </c>
      <c r="AF23" s="9">
        <v>0</v>
      </c>
      <c r="AG23" s="9">
        <v>10</v>
      </c>
      <c r="AH23" s="9">
        <v>10</v>
      </c>
      <c r="AI23" s="9">
        <v>0</v>
      </c>
      <c r="AJ23" s="9">
        <v>0</v>
      </c>
      <c r="AK23" s="9">
        <v>336</v>
      </c>
      <c r="AL23" s="9">
        <v>0</v>
      </c>
      <c r="AM23" s="9">
        <v>42</v>
      </c>
      <c r="AN23" s="9">
        <v>42</v>
      </c>
      <c r="AO23" s="9">
        <v>0</v>
      </c>
      <c r="AP23" s="9" t="s">
        <v>293</v>
      </c>
      <c r="AT23" s="8" t="s">
        <v>397</v>
      </c>
      <c r="AU23" s="8" t="s">
        <v>397</v>
      </c>
      <c r="AV23" s="8" t="s">
        <v>397</v>
      </c>
      <c r="AW23" s="8" t="s">
        <v>397</v>
      </c>
      <c r="AX23" s="9" t="s">
        <v>147</v>
      </c>
      <c r="AY23" s="9" t="s">
        <v>147</v>
      </c>
      <c r="AZ23" s="41" t="s">
        <v>397</v>
      </c>
      <c r="BA23" s="41" t="s">
        <v>397</v>
      </c>
      <c r="BB23" s="41" t="s">
        <v>147</v>
      </c>
      <c r="BC23" s="41" t="s">
        <v>397</v>
      </c>
      <c r="BD23" s="9"/>
      <c r="BE23" s="35" t="s">
        <v>141</v>
      </c>
      <c r="BQ23" s="9" t="s">
        <v>292</v>
      </c>
      <c r="CD23" s="9" t="s">
        <v>292</v>
      </c>
      <c r="CP23" t="s">
        <v>111</v>
      </c>
      <c r="CQ23" t="s">
        <v>112</v>
      </c>
      <c r="CR23" s="8" t="s">
        <v>173</v>
      </c>
    </row>
    <row r="24" spans="1:96" x14ac:dyDescent="0.2">
      <c r="A24" s="68">
        <v>410</v>
      </c>
      <c r="B24">
        <v>410</v>
      </c>
      <c r="C24" t="s">
        <v>141</v>
      </c>
      <c r="D24" t="s">
        <v>79</v>
      </c>
      <c r="E24" t="s">
        <v>340</v>
      </c>
      <c r="F24" s="8">
        <v>200</v>
      </c>
      <c r="G24" s="9">
        <f>SUM(O24:R24)</f>
        <v>0</v>
      </c>
      <c r="H24" s="10"/>
      <c r="I24" s="35" t="s">
        <v>152</v>
      </c>
      <c r="J24" s="35"/>
      <c r="K24" s="9"/>
      <c r="L24" s="9"/>
      <c r="M24" s="9"/>
      <c r="N24" s="9"/>
      <c r="O24" s="9"/>
      <c r="P24" s="9"/>
      <c r="Q24" s="9"/>
      <c r="R24" s="9"/>
      <c r="S24" s="10" t="s">
        <v>293</v>
      </c>
      <c r="T24" s="8"/>
      <c r="U24" s="9"/>
      <c r="V24" s="9"/>
      <c r="W24" s="9"/>
      <c r="X24" s="9"/>
      <c r="Y24" s="10" t="s">
        <v>292</v>
      </c>
      <c r="Z24" s="35" t="s">
        <v>74</v>
      </c>
      <c r="AA24" s="8"/>
      <c r="AB24" s="9"/>
      <c r="AC24" s="114"/>
      <c r="AP24" s="9" t="s">
        <v>292</v>
      </c>
      <c r="AT24" s="8" t="s">
        <v>397</v>
      </c>
      <c r="AU24" s="8" t="s">
        <v>397</v>
      </c>
      <c r="AV24" s="8" t="s">
        <v>397</v>
      </c>
      <c r="AW24" s="8" t="s">
        <v>397</v>
      </c>
      <c r="AX24" s="9" t="s">
        <v>147</v>
      </c>
      <c r="AY24" s="41" t="s">
        <v>397</v>
      </c>
      <c r="AZ24" s="41" t="s">
        <v>397</v>
      </c>
      <c r="BA24" s="41" t="s">
        <v>397</v>
      </c>
      <c r="BB24" s="41" t="s">
        <v>397</v>
      </c>
      <c r="BC24" s="41" t="s">
        <v>397</v>
      </c>
      <c r="BD24" s="9"/>
      <c r="BE24" s="35" t="s">
        <v>152</v>
      </c>
      <c r="BQ24" s="9" t="s">
        <v>292</v>
      </c>
      <c r="CC24" s="9" t="s">
        <v>141</v>
      </c>
      <c r="CD24" s="9" t="s">
        <v>293</v>
      </c>
      <c r="CF24" s="8" t="s">
        <v>74</v>
      </c>
      <c r="CH24" s="8" t="s">
        <v>141</v>
      </c>
      <c r="CI24" s="8">
        <v>0</v>
      </c>
      <c r="CP24" t="s">
        <v>80</v>
      </c>
      <c r="CQ24" t="s">
        <v>174</v>
      </c>
      <c r="CR24" t="s">
        <v>175</v>
      </c>
    </row>
    <row r="25" spans="1:96" s="196" customFormat="1" x14ac:dyDescent="0.2">
      <c r="A25" s="195">
        <v>423</v>
      </c>
      <c r="B25" s="196">
        <v>423</v>
      </c>
      <c r="C25" s="196" t="s">
        <v>75</v>
      </c>
      <c r="D25" s="196" t="s">
        <v>127</v>
      </c>
      <c r="E25" s="196" t="s">
        <v>338</v>
      </c>
      <c r="F25" s="197">
        <v>419091</v>
      </c>
      <c r="G25" s="198">
        <f t="shared" si="1"/>
        <v>419091</v>
      </c>
      <c r="H25" s="199"/>
      <c r="I25" s="200" t="s">
        <v>75</v>
      </c>
      <c r="J25" s="200"/>
      <c r="K25" s="198">
        <v>0</v>
      </c>
      <c r="L25" s="198">
        <v>0</v>
      </c>
      <c r="M25" s="198">
        <v>100</v>
      </c>
      <c r="N25" s="198">
        <v>0</v>
      </c>
      <c r="O25" s="198">
        <v>0</v>
      </c>
      <c r="P25" s="198">
        <v>0</v>
      </c>
      <c r="Q25" s="198">
        <v>419091</v>
      </c>
      <c r="R25" s="198">
        <v>0</v>
      </c>
      <c r="S25" s="199" t="s">
        <v>293</v>
      </c>
      <c r="T25" s="197">
        <v>60</v>
      </c>
      <c r="U25" s="198"/>
      <c r="V25" s="198"/>
      <c r="W25" s="198"/>
      <c r="X25" s="198"/>
      <c r="Y25" s="199" t="s">
        <v>293</v>
      </c>
      <c r="Z25" s="200" t="s">
        <v>75</v>
      </c>
      <c r="AA25" s="197" t="s">
        <v>74</v>
      </c>
      <c r="AB25" s="198" t="s">
        <v>130</v>
      </c>
      <c r="AC25" s="198"/>
      <c r="AD25" s="197"/>
      <c r="AE25" s="198"/>
      <c r="AF25" s="198"/>
      <c r="AG25" s="198"/>
      <c r="AH25" s="198"/>
      <c r="AI25" s="198"/>
      <c r="AJ25" s="198"/>
      <c r="AK25" s="198"/>
      <c r="AL25" s="198"/>
      <c r="AM25" s="198"/>
      <c r="AN25" s="198"/>
      <c r="AO25" s="198"/>
      <c r="AP25" s="198" t="s">
        <v>292</v>
      </c>
      <c r="AQ25" s="199"/>
      <c r="AR25" s="198"/>
      <c r="AS25" s="198"/>
      <c r="AT25" s="197" t="s">
        <v>147</v>
      </c>
      <c r="AU25" s="197" t="s">
        <v>147</v>
      </c>
      <c r="AV25" s="197" t="s">
        <v>147</v>
      </c>
      <c r="AW25" s="197" t="s">
        <v>147</v>
      </c>
      <c r="AX25" s="197" t="s">
        <v>147</v>
      </c>
      <c r="AY25" s="197" t="s">
        <v>397</v>
      </c>
      <c r="AZ25" s="198" t="s">
        <v>397</v>
      </c>
      <c r="BA25" s="198" t="s">
        <v>397</v>
      </c>
      <c r="BB25" s="198" t="s">
        <v>147</v>
      </c>
      <c r="BC25" s="198" t="s">
        <v>147</v>
      </c>
      <c r="BD25" s="198"/>
      <c r="BE25" s="200" t="s">
        <v>75</v>
      </c>
      <c r="BF25" s="197"/>
      <c r="BG25" s="197">
        <v>85.956699824458752</v>
      </c>
      <c r="BH25" s="198">
        <v>5.8513750731421883</v>
      </c>
      <c r="BI25" s="198">
        <v>5.8513750731421883</v>
      </c>
      <c r="BJ25" s="198">
        <v>2.3405500292568755</v>
      </c>
      <c r="BK25" s="198">
        <v>0</v>
      </c>
      <c r="BL25" s="198">
        <v>360236.79286132246</v>
      </c>
      <c r="BM25" s="198">
        <v>24522.586307782331</v>
      </c>
      <c r="BN25" s="198">
        <v>24522.586307782331</v>
      </c>
      <c r="BO25" s="198">
        <v>9809.0345231129322</v>
      </c>
      <c r="BP25" s="198">
        <v>0</v>
      </c>
      <c r="BQ25" s="198" t="s">
        <v>293</v>
      </c>
      <c r="BR25" s="199"/>
      <c r="BS25" s="199"/>
      <c r="BT25" s="200">
        <v>0</v>
      </c>
      <c r="BU25" s="197">
        <v>5</v>
      </c>
      <c r="BV25" s="198">
        <v>0</v>
      </c>
      <c r="BW25" s="198"/>
      <c r="BX25" s="198"/>
      <c r="BY25" s="198"/>
      <c r="BZ25" s="198"/>
      <c r="CA25" s="198"/>
      <c r="CB25" s="198"/>
      <c r="CC25" s="198"/>
      <c r="CD25" s="198" t="s">
        <v>293</v>
      </c>
      <c r="CE25" s="198"/>
      <c r="CF25" s="197" t="s">
        <v>74</v>
      </c>
      <c r="CG25" s="199"/>
      <c r="CH25" s="197"/>
      <c r="CI25" s="197"/>
      <c r="CJ25" s="197"/>
      <c r="CK25" s="198"/>
      <c r="CL25" s="198"/>
      <c r="CM25" s="198"/>
      <c r="CN25" s="198"/>
      <c r="CO25" s="199"/>
      <c r="CP25" s="196" t="s">
        <v>128</v>
      </c>
      <c r="CQ25" s="196" t="s">
        <v>129</v>
      </c>
    </row>
    <row r="26" spans="1:96" x14ac:dyDescent="0.2">
      <c r="A26" s="68">
        <v>434</v>
      </c>
      <c r="B26">
        <v>434</v>
      </c>
      <c r="C26" t="s">
        <v>141</v>
      </c>
      <c r="D26" t="s">
        <v>79</v>
      </c>
      <c r="E26" t="s">
        <v>340</v>
      </c>
      <c r="F26" s="8">
        <v>44000</v>
      </c>
      <c r="G26" s="9">
        <f t="shared" si="1"/>
        <v>44000</v>
      </c>
      <c r="H26" s="10"/>
      <c r="I26" s="171" t="s">
        <v>141</v>
      </c>
      <c r="J26" s="35"/>
      <c r="K26" s="41">
        <v>0</v>
      </c>
      <c r="L26" s="9">
        <v>45</v>
      </c>
      <c r="M26" s="9">
        <v>0</v>
      </c>
      <c r="N26" s="9">
        <v>55</v>
      </c>
      <c r="O26" s="9">
        <v>0</v>
      </c>
      <c r="P26" s="9">
        <v>19800</v>
      </c>
      <c r="Q26" s="9">
        <v>0</v>
      </c>
      <c r="R26" s="9">
        <v>24200</v>
      </c>
      <c r="S26" s="10" t="s">
        <v>293</v>
      </c>
      <c r="T26" s="8">
        <v>93</v>
      </c>
      <c r="U26" s="9">
        <v>75</v>
      </c>
      <c r="V26" s="9">
        <v>65</v>
      </c>
      <c r="W26" s="9">
        <v>65</v>
      </c>
      <c r="X26" s="9" t="s">
        <v>297</v>
      </c>
      <c r="Y26" s="10" t="s">
        <v>293</v>
      </c>
      <c r="Z26" s="35" t="s">
        <v>74</v>
      </c>
      <c r="AA26" s="8" t="s">
        <v>74</v>
      </c>
      <c r="AB26" s="9"/>
      <c r="AC26" s="114"/>
      <c r="AP26" s="9" t="s">
        <v>292</v>
      </c>
      <c r="AT26" s="8" t="s">
        <v>147</v>
      </c>
      <c r="AU26" s="9" t="s">
        <v>147</v>
      </c>
      <c r="AV26" s="9" t="s">
        <v>147</v>
      </c>
      <c r="AW26" s="9" t="s">
        <v>147</v>
      </c>
      <c r="AX26" s="9" t="s">
        <v>147</v>
      </c>
      <c r="AY26" s="9" t="s">
        <v>147</v>
      </c>
      <c r="AZ26" s="9" t="s">
        <v>147</v>
      </c>
      <c r="BA26" s="9" t="s">
        <v>147</v>
      </c>
      <c r="BB26" s="9" t="s">
        <v>147</v>
      </c>
      <c r="BC26" s="9" t="s">
        <v>147</v>
      </c>
      <c r="BD26" s="9"/>
      <c r="BE26" s="171" t="s">
        <v>141</v>
      </c>
      <c r="BQ26" s="9" t="s">
        <v>292</v>
      </c>
      <c r="BY26" s="9">
        <v>5</v>
      </c>
      <c r="BZ26" s="9">
        <v>21000</v>
      </c>
      <c r="CD26" s="9" t="s">
        <v>293</v>
      </c>
      <c r="CF26" s="8" t="s">
        <v>152</v>
      </c>
      <c r="CH26" s="8" t="s">
        <v>141</v>
      </c>
      <c r="CI26" s="8">
        <v>0</v>
      </c>
    </row>
    <row r="27" spans="1:96" s="196" customFormat="1" x14ac:dyDescent="0.2">
      <c r="A27" s="195">
        <v>457</v>
      </c>
      <c r="B27" s="196">
        <v>457</v>
      </c>
      <c r="C27" s="196" t="s">
        <v>75</v>
      </c>
      <c r="D27" s="196" t="s">
        <v>76</v>
      </c>
      <c r="E27" s="196" t="s">
        <v>341</v>
      </c>
      <c r="F27" s="197">
        <f>12789*4.8</f>
        <v>61387.199999999997</v>
      </c>
      <c r="G27" s="198">
        <f t="shared" si="1"/>
        <v>61387.199999999997</v>
      </c>
      <c r="H27" s="199" t="s">
        <v>141</v>
      </c>
      <c r="I27" s="200" t="s">
        <v>152</v>
      </c>
      <c r="J27" s="200"/>
      <c r="K27" s="198">
        <v>0</v>
      </c>
      <c r="L27" s="198">
        <v>100</v>
      </c>
      <c r="M27" s="198">
        <v>0</v>
      </c>
      <c r="N27" s="198">
        <v>0</v>
      </c>
      <c r="O27" s="198">
        <v>0</v>
      </c>
      <c r="P27" s="198">
        <v>61387.199999999997</v>
      </c>
      <c r="Q27" s="198">
        <v>0</v>
      </c>
      <c r="R27" s="198">
        <v>0</v>
      </c>
      <c r="S27" s="199" t="s">
        <v>293</v>
      </c>
      <c r="T27" s="197">
        <v>6</v>
      </c>
      <c r="U27" s="198"/>
      <c r="V27" s="198"/>
      <c r="W27" s="198"/>
      <c r="X27" s="198" t="s">
        <v>297</v>
      </c>
      <c r="Y27" s="199" t="s">
        <v>293</v>
      </c>
      <c r="Z27" s="200" t="s">
        <v>75</v>
      </c>
      <c r="AA27" s="197" t="s">
        <v>75</v>
      </c>
      <c r="AB27" s="198"/>
      <c r="AC27" s="198"/>
      <c r="AD27" s="197"/>
      <c r="AE27" s="198"/>
      <c r="AF27" s="198"/>
      <c r="AG27" s="198"/>
      <c r="AH27" s="198"/>
      <c r="AI27" s="198"/>
      <c r="AJ27" s="198"/>
      <c r="AK27" s="198"/>
      <c r="AL27" s="198"/>
      <c r="AM27" s="198"/>
      <c r="AN27" s="198"/>
      <c r="AO27" s="198"/>
      <c r="AP27" s="198" t="s">
        <v>292</v>
      </c>
      <c r="AQ27" s="199"/>
      <c r="AR27" s="198"/>
      <c r="AS27" s="198"/>
      <c r="AT27" s="197" t="s">
        <v>397</v>
      </c>
      <c r="AU27" s="197" t="s">
        <v>397</v>
      </c>
      <c r="AV27" s="197" t="s">
        <v>397</v>
      </c>
      <c r="AW27" s="197" t="s">
        <v>397</v>
      </c>
      <c r="AX27" s="197" t="s">
        <v>397</v>
      </c>
      <c r="AY27" s="197" t="s">
        <v>397</v>
      </c>
      <c r="AZ27" s="197" t="s">
        <v>397</v>
      </c>
      <c r="BA27" s="197" t="s">
        <v>397</v>
      </c>
      <c r="BB27" s="197" t="s">
        <v>397</v>
      </c>
      <c r="BC27" s="197" t="s">
        <v>397</v>
      </c>
      <c r="BD27" s="198"/>
      <c r="BE27" s="200" t="s">
        <v>152</v>
      </c>
      <c r="BF27" s="197"/>
      <c r="BG27" s="197"/>
      <c r="BH27" s="198"/>
      <c r="BI27" s="198"/>
      <c r="BJ27" s="198"/>
      <c r="BK27" s="198"/>
      <c r="BL27" s="198"/>
      <c r="BM27" s="198"/>
      <c r="BN27" s="198"/>
      <c r="BO27" s="198"/>
      <c r="BP27" s="198"/>
      <c r="BQ27" s="198" t="s">
        <v>292</v>
      </c>
      <c r="BR27" s="199"/>
      <c r="BS27" s="199"/>
      <c r="BT27" s="200"/>
      <c r="BU27" s="197"/>
      <c r="BV27" s="198"/>
      <c r="BW27" s="198"/>
      <c r="BX27" s="198"/>
      <c r="BY27" s="198"/>
      <c r="BZ27" s="198"/>
      <c r="CA27" s="198"/>
      <c r="CB27" s="198"/>
      <c r="CC27" s="198"/>
      <c r="CD27" s="198" t="s">
        <v>292</v>
      </c>
      <c r="CE27" s="198"/>
      <c r="CF27" s="197"/>
      <c r="CG27" s="199"/>
      <c r="CH27" s="197"/>
      <c r="CI27" s="198"/>
      <c r="CJ27" s="197"/>
      <c r="CK27" s="198"/>
      <c r="CL27" s="198"/>
      <c r="CM27" s="198"/>
      <c r="CN27" s="198"/>
      <c r="CO27" s="199"/>
      <c r="CP27" s="196" t="s">
        <v>119</v>
      </c>
      <c r="CR27" s="196" t="s">
        <v>118</v>
      </c>
    </row>
    <row r="28" spans="1:96" x14ac:dyDescent="0.2">
      <c r="A28" s="68">
        <v>482</v>
      </c>
      <c r="B28">
        <v>482</v>
      </c>
      <c r="C28" t="s">
        <v>75</v>
      </c>
      <c r="D28" t="s">
        <v>76</v>
      </c>
      <c r="E28" t="s">
        <v>341</v>
      </c>
      <c r="F28" s="8">
        <v>4862</v>
      </c>
      <c r="G28" s="9">
        <f t="shared" si="1"/>
        <v>4862</v>
      </c>
      <c r="H28" s="10"/>
      <c r="I28" s="35" t="s">
        <v>75</v>
      </c>
      <c r="J28" s="35"/>
      <c r="K28" s="9">
        <v>80</v>
      </c>
      <c r="L28" s="9">
        <v>20</v>
      </c>
      <c r="M28" s="9">
        <v>0</v>
      </c>
      <c r="N28" s="9">
        <v>0</v>
      </c>
      <c r="O28" s="9">
        <v>3889.6</v>
      </c>
      <c r="P28" s="9">
        <v>972.4</v>
      </c>
      <c r="Q28" s="9">
        <v>0</v>
      </c>
      <c r="R28" s="9">
        <v>0</v>
      </c>
      <c r="S28" s="10" t="s">
        <v>293</v>
      </c>
      <c r="T28" s="8">
        <v>28</v>
      </c>
      <c r="U28" s="9">
        <v>28</v>
      </c>
      <c r="V28" s="9">
        <v>28</v>
      </c>
      <c r="W28" s="9">
        <v>25</v>
      </c>
      <c r="X28" s="9"/>
      <c r="Y28" s="10" t="s">
        <v>293</v>
      </c>
      <c r="Z28" s="35" t="s">
        <v>75</v>
      </c>
      <c r="AA28" s="8" t="s">
        <v>75</v>
      </c>
      <c r="AB28" s="9"/>
      <c r="AC28" s="114"/>
      <c r="AD28" s="8">
        <v>0</v>
      </c>
      <c r="AE28" s="9">
        <v>74.75</v>
      </c>
      <c r="AF28" s="9">
        <v>25.000000000000007</v>
      </c>
      <c r="AG28" s="9">
        <v>0</v>
      </c>
      <c r="AH28" s="9">
        <v>0.25000000000000006</v>
      </c>
      <c r="AI28" s="9">
        <v>0</v>
      </c>
      <c r="AJ28" s="9">
        <v>0</v>
      </c>
      <c r="AK28" s="9">
        <v>2907.4759999999997</v>
      </c>
      <c r="AL28" s="9">
        <v>972.40000000000032</v>
      </c>
      <c r="AM28" s="9">
        <v>0</v>
      </c>
      <c r="AN28" s="9">
        <v>9.724000000000002</v>
      </c>
      <c r="AO28" s="9">
        <v>0</v>
      </c>
      <c r="AP28" s="9" t="s">
        <v>293</v>
      </c>
      <c r="AQ28" s="10" t="s">
        <v>141</v>
      </c>
      <c r="AT28" s="8" t="s">
        <v>397</v>
      </c>
      <c r="AU28" s="8" t="s">
        <v>397</v>
      </c>
      <c r="AV28" s="8" t="s">
        <v>397</v>
      </c>
      <c r="AW28" s="8" t="s">
        <v>397</v>
      </c>
      <c r="AX28" s="8" t="s">
        <v>397</v>
      </c>
      <c r="AY28" s="8" t="s">
        <v>397</v>
      </c>
      <c r="AZ28" s="8" t="s">
        <v>397</v>
      </c>
      <c r="BA28" s="8" t="s">
        <v>397</v>
      </c>
      <c r="BB28" s="173" t="s">
        <v>147</v>
      </c>
      <c r="BC28" s="9" t="s">
        <v>147</v>
      </c>
      <c r="BD28" s="9"/>
      <c r="BE28" s="35" t="s">
        <v>75</v>
      </c>
      <c r="BQ28" s="9" t="s">
        <v>292</v>
      </c>
      <c r="BT28" s="35">
        <v>0</v>
      </c>
      <c r="CD28" s="9" t="s">
        <v>292</v>
      </c>
      <c r="CF28" s="8" t="s">
        <v>74</v>
      </c>
      <c r="CP28" t="s">
        <v>115</v>
      </c>
      <c r="CQ28" t="s">
        <v>116</v>
      </c>
      <c r="CR28" t="s">
        <v>114</v>
      </c>
    </row>
    <row r="29" spans="1:96" s="196" customFormat="1" x14ac:dyDescent="0.2">
      <c r="A29" s="195">
        <v>497</v>
      </c>
      <c r="B29" s="196">
        <v>497</v>
      </c>
      <c r="C29" s="196" t="s">
        <v>141</v>
      </c>
      <c r="D29" s="196" t="s">
        <v>76</v>
      </c>
      <c r="E29" s="196" t="s">
        <v>341</v>
      </c>
      <c r="F29" s="197">
        <f>2800*4.8</f>
        <v>13440</v>
      </c>
      <c r="G29" s="198">
        <f t="shared" si="1"/>
        <v>13440</v>
      </c>
      <c r="H29" s="199"/>
      <c r="I29" s="200" t="s">
        <v>152</v>
      </c>
      <c r="J29" s="200"/>
      <c r="K29" s="198">
        <v>30</v>
      </c>
      <c r="L29" s="198">
        <v>20</v>
      </c>
      <c r="M29" s="198">
        <v>0</v>
      </c>
      <c r="N29" s="198">
        <v>50</v>
      </c>
      <c r="O29" s="198">
        <f>(K29*$F$29)*0.01</f>
        <v>4032</v>
      </c>
      <c r="P29" s="198">
        <f t="shared" ref="P29:R29" si="2">(L29*$F$29)*0.01</f>
        <v>2688</v>
      </c>
      <c r="Q29" s="198">
        <f t="shared" si="2"/>
        <v>0</v>
      </c>
      <c r="R29" s="198">
        <f t="shared" si="2"/>
        <v>6720</v>
      </c>
      <c r="S29" s="199" t="s">
        <v>293</v>
      </c>
      <c r="T29" s="197">
        <f>23.4*4.8</f>
        <v>112.32</v>
      </c>
      <c r="U29" s="198">
        <f>23.4*4.8</f>
        <v>112.32</v>
      </c>
      <c r="V29" s="198">
        <f>15.6*4.8</f>
        <v>74.88</v>
      </c>
      <c r="W29" s="198">
        <f>15.6*4.8</f>
        <v>74.88</v>
      </c>
      <c r="X29" s="198" t="s">
        <v>141</v>
      </c>
      <c r="Y29" s="199" t="s">
        <v>293</v>
      </c>
      <c r="Z29" s="200" t="s">
        <v>141</v>
      </c>
      <c r="AA29" s="197" t="s">
        <v>141</v>
      </c>
      <c r="AB29" s="198"/>
      <c r="AC29" s="198"/>
      <c r="AD29" s="197">
        <v>0</v>
      </c>
      <c r="AE29" s="198">
        <v>60</v>
      </c>
      <c r="AF29" s="198">
        <v>0</v>
      </c>
      <c r="AG29" s="198">
        <v>20</v>
      </c>
      <c r="AH29" s="198">
        <v>20</v>
      </c>
      <c r="AI29" s="198">
        <v>0</v>
      </c>
      <c r="AJ29" s="198">
        <v>0</v>
      </c>
      <c r="AK29" s="198">
        <v>104.96556000000002</v>
      </c>
      <c r="AL29" s="198">
        <v>0</v>
      </c>
      <c r="AM29" s="198">
        <v>34.988520000000008</v>
      </c>
      <c r="AN29" s="198">
        <v>34.988520000000008</v>
      </c>
      <c r="AO29" s="198">
        <v>0</v>
      </c>
      <c r="AP29" s="198" t="s">
        <v>293</v>
      </c>
      <c r="AQ29" s="199"/>
      <c r="AR29" s="198"/>
      <c r="AS29" s="198"/>
      <c r="AT29" s="197" t="s">
        <v>397</v>
      </c>
      <c r="AU29" s="198" t="s">
        <v>397</v>
      </c>
      <c r="AV29" s="198" t="s">
        <v>397</v>
      </c>
      <c r="AW29" s="198" t="s">
        <v>397</v>
      </c>
      <c r="AX29" s="198" t="s">
        <v>147</v>
      </c>
      <c r="AY29" s="198" t="s">
        <v>147</v>
      </c>
      <c r="AZ29" s="198" t="s">
        <v>397</v>
      </c>
      <c r="BA29" s="198" t="s">
        <v>147</v>
      </c>
      <c r="BB29" s="198" t="s">
        <v>397</v>
      </c>
      <c r="BC29" s="198" t="s">
        <v>397</v>
      </c>
      <c r="BD29" s="198"/>
      <c r="BE29" s="200" t="s">
        <v>152</v>
      </c>
      <c r="BF29" s="197"/>
      <c r="BG29" s="197"/>
      <c r="BH29" s="198"/>
      <c r="BI29" s="198"/>
      <c r="BJ29" s="198"/>
      <c r="BK29" s="198"/>
      <c r="BL29" s="198"/>
      <c r="BM29" s="198"/>
      <c r="BN29" s="198"/>
      <c r="BO29" s="198"/>
      <c r="BP29" s="198"/>
      <c r="BQ29" s="198" t="s">
        <v>292</v>
      </c>
      <c r="BR29" s="199"/>
      <c r="BS29" s="199"/>
      <c r="BT29" s="200"/>
      <c r="BU29" s="197"/>
      <c r="BV29" s="198"/>
      <c r="BW29" s="198"/>
      <c r="BX29" s="198"/>
      <c r="BY29" s="198"/>
      <c r="BZ29" s="198"/>
      <c r="CA29" s="198"/>
      <c r="CB29" s="198"/>
      <c r="CC29" s="198"/>
      <c r="CD29" s="198" t="s">
        <v>292</v>
      </c>
      <c r="CE29" s="198"/>
      <c r="CF29" s="197"/>
      <c r="CG29" s="199"/>
      <c r="CH29" s="197"/>
      <c r="CI29" s="198"/>
      <c r="CJ29" s="197"/>
      <c r="CK29" s="198"/>
      <c r="CL29" s="198"/>
      <c r="CM29" s="198"/>
      <c r="CN29" s="198"/>
      <c r="CO29" s="199"/>
      <c r="CP29" s="196" t="s">
        <v>176</v>
      </c>
      <c r="CQ29" s="196" t="s">
        <v>177</v>
      </c>
      <c r="CR29" s="196" t="s">
        <v>178</v>
      </c>
    </row>
    <row r="30" spans="1:96" s="196" customFormat="1" x14ac:dyDescent="0.2">
      <c r="A30" s="195">
        <v>531</v>
      </c>
      <c r="B30" s="196">
        <v>531</v>
      </c>
      <c r="C30" s="196" t="s">
        <v>75</v>
      </c>
      <c r="D30" s="196" t="s">
        <v>179</v>
      </c>
      <c r="E30" s="196" t="s">
        <v>338</v>
      </c>
      <c r="F30" s="197">
        <v>1240</v>
      </c>
      <c r="G30" s="198">
        <f t="shared" si="1"/>
        <v>1240</v>
      </c>
      <c r="H30" s="199"/>
      <c r="I30" s="200" t="s">
        <v>152</v>
      </c>
      <c r="J30" s="200"/>
      <c r="K30" s="198">
        <v>30</v>
      </c>
      <c r="L30" s="198">
        <v>60</v>
      </c>
      <c r="M30" s="198">
        <v>0</v>
      </c>
      <c r="N30" s="198">
        <v>10</v>
      </c>
      <c r="O30" s="198">
        <f>(K30*$F$30)*0.01</f>
        <v>372</v>
      </c>
      <c r="P30" s="198">
        <f t="shared" ref="P30:R30" si="3">(L30*$F$30)*0.01</f>
        <v>744</v>
      </c>
      <c r="Q30" s="198">
        <f t="shared" si="3"/>
        <v>0</v>
      </c>
      <c r="R30" s="198">
        <f t="shared" si="3"/>
        <v>124</v>
      </c>
      <c r="S30" s="199" t="s">
        <v>293</v>
      </c>
      <c r="T30" s="197">
        <f>4*4.8</f>
        <v>19.2</v>
      </c>
      <c r="U30" s="198"/>
      <c r="V30" s="198"/>
      <c r="W30" s="198"/>
      <c r="X30" s="198"/>
      <c r="Y30" s="199" t="s">
        <v>293</v>
      </c>
      <c r="Z30" s="200" t="s">
        <v>75</v>
      </c>
      <c r="AA30" s="197" t="s">
        <v>75</v>
      </c>
      <c r="AB30" s="198"/>
      <c r="AC30" s="198"/>
      <c r="AD30" s="197">
        <v>100</v>
      </c>
      <c r="AE30" s="198">
        <v>0</v>
      </c>
      <c r="AF30" s="198">
        <v>0</v>
      </c>
      <c r="AG30" s="198">
        <v>0</v>
      </c>
      <c r="AH30" s="198">
        <v>0</v>
      </c>
      <c r="AI30" s="198">
        <v>0</v>
      </c>
      <c r="AJ30" s="198">
        <v>10347.300000000001</v>
      </c>
      <c r="AK30" s="198">
        <v>0</v>
      </c>
      <c r="AL30" s="198">
        <v>0</v>
      </c>
      <c r="AM30" s="198">
        <v>0</v>
      </c>
      <c r="AN30" s="198">
        <v>0</v>
      </c>
      <c r="AO30" s="198">
        <v>0</v>
      </c>
      <c r="AP30" s="198" t="s">
        <v>293</v>
      </c>
      <c r="AQ30" s="199"/>
      <c r="AR30" s="198"/>
      <c r="AS30" s="198"/>
      <c r="AT30" s="197" t="s">
        <v>397</v>
      </c>
      <c r="AU30" s="198" t="s">
        <v>397</v>
      </c>
      <c r="AV30" s="198" t="s">
        <v>147</v>
      </c>
      <c r="AW30" s="198" t="s">
        <v>397</v>
      </c>
      <c r="AX30" s="198" t="s">
        <v>147</v>
      </c>
      <c r="AY30" s="198" t="s">
        <v>397</v>
      </c>
      <c r="AZ30" s="198" t="s">
        <v>397</v>
      </c>
      <c r="BA30" s="198" t="s">
        <v>397</v>
      </c>
      <c r="BB30" s="198" t="s">
        <v>397</v>
      </c>
      <c r="BC30" s="198" t="s">
        <v>397</v>
      </c>
      <c r="BD30" s="198"/>
      <c r="BE30" s="200" t="s">
        <v>152</v>
      </c>
      <c r="BF30" s="197"/>
      <c r="BG30" s="197"/>
      <c r="BH30" s="198"/>
      <c r="BI30" s="198"/>
      <c r="BJ30" s="198"/>
      <c r="BK30" s="198"/>
      <c r="BL30" s="198"/>
      <c r="BM30" s="198"/>
      <c r="BN30" s="198"/>
      <c r="BO30" s="198"/>
      <c r="BP30" s="198"/>
      <c r="BQ30" s="198" t="s">
        <v>292</v>
      </c>
      <c r="BR30" s="199"/>
      <c r="BS30" s="199"/>
      <c r="BT30" s="200"/>
      <c r="BU30" s="197"/>
      <c r="BV30" s="198"/>
      <c r="BW30" s="198"/>
      <c r="BX30" s="198"/>
      <c r="BY30" s="198"/>
      <c r="BZ30" s="198"/>
      <c r="CA30" s="198"/>
      <c r="CB30" s="198"/>
      <c r="CC30" s="198"/>
      <c r="CD30" s="198" t="s">
        <v>292</v>
      </c>
      <c r="CE30" s="198"/>
      <c r="CF30" s="197"/>
      <c r="CG30" s="199"/>
      <c r="CH30" s="197"/>
      <c r="CI30" s="198"/>
      <c r="CJ30" s="197"/>
      <c r="CK30" s="198"/>
      <c r="CL30" s="198"/>
      <c r="CM30" s="198"/>
      <c r="CN30" s="198"/>
      <c r="CO30" s="199"/>
    </row>
    <row r="31" spans="1:96" x14ac:dyDescent="0.2">
      <c r="A31" s="68">
        <v>534</v>
      </c>
      <c r="B31">
        <v>534</v>
      </c>
      <c r="C31" t="s">
        <v>141</v>
      </c>
      <c r="D31" t="s">
        <v>179</v>
      </c>
      <c r="E31" t="s">
        <v>338</v>
      </c>
      <c r="F31" s="8">
        <v>1574</v>
      </c>
      <c r="G31" s="9">
        <f t="shared" si="1"/>
        <v>1574</v>
      </c>
      <c r="H31" s="10"/>
      <c r="I31" s="35" t="s">
        <v>152</v>
      </c>
      <c r="J31" s="35"/>
      <c r="K31" s="9">
        <v>85.06988564167726</v>
      </c>
      <c r="L31" s="9">
        <v>14.930114358322744</v>
      </c>
      <c r="M31" s="9">
        <v>0</v>
      </c>
      <c r="N31" s="9">
        <v>0</v>
      </c>
      <c r="O31" s="9">
        <v>1339</v>
      </c>
      <c r="P31" s="9">
        <v>235</v>
      </c>
      <c r="Q31" s="9">
        <v>0</v>
      </c>
      <c r="R31" s="9">
        <v>0</v>
      </c>
      <c r="S31" s="10" t="s">
        <v>293</v>
      </c>
      <c r="T31" s="8"/>
      <c r="U31" s="9"/>
      <c r="V31" s="9"/>
      <c r="W31" s="9"/>
      <c r="X31" s="9"/>
      <c r="Y31" s="10" t="s">
        <v>292</v>
      </c>
      <c r="Z31" s="35" t="s">
        <v>141</v>
      </c>
      <c r="AA31" s="8" t="s">
        <v>141</v>
      </c>
      <c r="AB31" s="9"/>
      <c r="AC31" s="114"/>
      <c r="AD31" s="8">
        <v>78.22057460611677</v>
      </c>
      <c r="AE31" s="9">
        <v>4.1705282669138093</v>
      </c>
      <c r="AF31" s="9">
        <v>17.608897126969417</v>
      </c>
      <c r="AG31" s="9">
        <v>0</v>
      </c>
      <c r="AH31" s="9">
        <v>0</v>
      </c>
      <c r="AI31" s="9">
        <v>0</v>
      </c>
      <c r="AJ31" s="9">
        <v>1047.3734939759036</v>
      </c>
      <c r="AK31" s="9">
        <v>55.843373493975903</v>
      </c>
      <c r="AL31" s="9">
        <v>235.7831325301205</v>
      </c>
      <c r="AM31" s="9">
        <v>0</v>
      </c>
      <c r="AN31" s="9">
        <v>0</v>
      </c>
      <c r="AO31" s="9">
        <v>0</v>
      </c>
      <c r="AP31" s="9" t="s">
        <v>293</v>
      </c>
      <c r="AQ31" s="10" t="s">
        <v>141</v>
      </c>
      <c r="AT31" s="8" t="s">
        <v>397</v>
      </c>
      <c r="AU31" s="41" t="s">
        <v>397</v>
      </c>
      <c r="AV31" s="9" t="s">
        <v>147</v>
      </c>
      <c r="AW31" s="41" t="s">
        <v>397</v>
      </c>
      <c r="AX31" s="9" t="s">
        <v>147</v>
      </c>
      <c r="AY31" s="41" t="s">
        <v>397</v>
      </c>
      <c r="AZ31" s="41" t="s">
        <v>397</v>
      </c>
      <c r="BA31" s="41" t="s">
        <v>397</v>
      </c>
      <c r="BB31" s="41" t="s">
        <v>397</v>
      </c>
      <c r="BC31" s="41" t="s">
        <v>397</v>
      </c>
      <c r="BD31" s="9"/>
      <c r="BE31" s="35" t="s">
        <v>152</v>
      </c>
      <c r="BQ31" s="9" t="s">
        <v>292</v>
      </c>
      <c r="BT31" s="35">
        <v>0</v>
      </c>
      <c r="CC31" s="9" t="s">
        <v>141</v>
      </c>
      <c r="CD31" s="9" t="s">
        <v>293</v>
      </c>
      <c r="CF31" s="8" t="s">
        <v>152</v>
      </c>
      <c r="CH31" s="8" t="s">
        <v>141</v>
      </c>
      <c r="CI31" s="9">
        <v>0</v>
      </c>
      <c r="CP31" t="s">
        <v>180</v>
      </c>
      <c r="CQ31" t="s">
        <v>181</v>
      </c>
      <c r="CR31" t="s">
        <v>182</v>
      </c>
    </row>
    <row r="32" spans="1:96" x14ac:dyDescent="0.2">
      <c r="A32" s="68">
        <v>582</v>
      </c>
      <c r="B32">
        <v>582</v>
      </c>
      <c r="C32" t="s">
        <v>141</v>
      </c>
      <c r="D32" t="s">
        <v>179</v>
      </c>
      <c r="E32" t="s">
        <v>338</v>
      </c>
      <c r="F32" s="8">
        <v>1626</v>
      </c>
      <c r="G32" s="9">
        <f t="shared" si="1"/>
        <v>1626</v>
      </c>
      <c r="H32" s="10"/>
      <c r="I32" s="35" t="s">
        <v>141</v>
      </c>
      <c r="J32" s="35"/>
      <c r="K32" s="9">
        <v>50</v>
      </c>
      <c r="L32" s="9">
        <v>0</v>
      </c>
      <c r="M32" s="9">
        <v>50</v>
      </c>
      <c r="N32" s="9">
        <v>0</v>
      </c>
      <c r="O32" s="9">
        <v>813</v>
      </c>
      <c r="P32" s="9">
        <v>0</v>
      </c>
      <c r="Q32" s="9">
        <v>813</v>
      </c>
      <c r="R32" s="9">
        <v>0</v>
      </c>
      <c r="S32" s="10" t="s">
        <v>293</v>
      </c>
      <c r="T32" s="8"/>
      <c r="U32" s="9"/>
      <c r="V32" s="9"/>
      <c r="W32" s="9"/>
      <c r="X32" s="9"/>
      <c r="Y32" s="10" t="s">
        <v>292</v>
      </c>
      <c r="Z32" s="35" t="s">
        <v>141</v>
      </c>
      <c r="AA32" s="8" t="s">
        <v>152</v>
      </c>
      <c r="AB32" s="9" t="s">
        <v>183</v>
      </c>
      <c r="AC32" s="114"/>
      <c r="AD32" s="8">
        <v>100</v>
      </c>
      <c r="AE32" s="9">
        <v>0</v>
      </c>
      <c r="AF32" s="9">
        <v>0</v>
      </c>
      <c r="AG32" s="9">
        <v>0</v>
      </c>
      <c r="AH32" s="9">
        <v>0</v>
      </c>
      <c r="AI32" s="9">
        <v>0</v>
      </c>
      <c r="AJ32" s="9">
        <v>813</v>
      </c>
      <c r="AK32" s="9">
        <v>0</v>
      </c>
      <c r="AL32" s="9">
        <v>0</v>
      </c>
      <c r="AM32" s="9">
        <v>0</v>
      </c>
      <c r="AN32" s="9">
        <v>0</v>
      </c>
      <c r="AO32" s="9">
        <v>0</v>
      </c>
      <c r="AP32" s="9" t="s">
        <v>293</v>
      </c>
      <c r="AT32" s="8" t="s">
        <v>397</v>
      </c>
      <c r="AU32" s="41" t="s">
        <v>397</v>
      </c>
      <c r="AV32" s="9" t="s">
        <v>147</v>
      </c>
      <c r="AW32" s="41" t="s">
        <v>397</v>
      </c>
      <c r="AX32" s="41" t="s">
        <v>397</v>
      </c>
      <c r="AY32" s="41" t="s">
        <v>397</v>
      </c>
      <c r="AZ32" s="41" t="s">
        <v>397</v>
      </c>
      <c r="BA32" s="41" t="s">
        <v>397</v>
      </c>
      <c r="BB32" s="41" t="s">
        <v>147</v>
      </c>
      <c r="BC32" s="41" t="s">
        <v>397</v>
      </c>
      <c r="BD32" s="9"/>
      <c r="BE32" s="35" t="s">
        <v>141</v>
      </c>
      <c r="BQ32" s="9" t="s">
        <v>292</v>
      </c>
      <c r="CD32" s="9" t="s">
        <v>292</v>
      </c>
      <c r="CQ32" t="s">
        <v>184</v>
      </c>
      <c r="CR32" t="s">
        <v>185</v>
      </c>
    </row>
    <row r="33" spans="1:96" x14ac:dyDescent="0.2">
      <c r="A33" s="68">
        <v>652</v>
      </c>
      <c r="B33">
        <v>652</v>
      </c>
      <c r="C33" t="s">
        <v>75</v>
      </c>
      <c r="D33" t="s">
        <v>98</v>
      </c>
      <c r="E33" t="s">
        <v>339</v>
      </c>
      <c r="F33" s="8">
        <v>4275</v>
      </c>
      <c r="G33" s="9">
        <f t="shared" si="1"/>
        <v>4275</v>
      </c>
      <c r="H33" s="10"/>
      <c r="I33" s="35" t="s">
        <v>152</v>
      </c>
      <c r="J33" s="35"/>
      <c r="K33" s="9">
        <v>0</v>
      </c>
      <c r="L33" s="9">
        <v>100</v>
      </c>
      <c r="M33" s="41">
        <v>0</v>
      </c>
      <c r="N33" s="9">
        <v>0</v>
      </c>
      <c r="O33" s="9">
        <v>0</v>
      </c>
      <c r="P33" s="9">
        <v>4275</v>
      </c>
      <c r="Q33" s="9">
        <v>0</v>
      </c>
      <c r="R33" s="9">
        <v>0</v>
      </c>
      <c r="S33" s="10" t="s">
        <v>293</v>
      </c>
      <c r="T33" s="8">
        <v>12.5</v>
      </c>
      <c r="U33" s="9">
        <v>12.5</v>
      </c>
      <c r="V33" s="9">
        <v>12.5</v>
      </c>
      <c r="W33" s="9"/>
      <c r="X33" s="9" t="s">
        <v>297</v>
      </c>
      <c r="Y33" s="10" t="s">
        <v>293</v>
      </c>
      <c r="Z33" s="35" t="s">
        <v>75</v>
      </c>
      <c r="AA33" s="8" t="s">
        <v>75</v>
      </c>
      <c r="AB33" s="9"/>
      <c r="AC33" s="114"/>
      <c r="AP33" s="9" t="s">
        <v>292</v>
      </c>
      <c r="AT33" s="8" t="s">
        <v>397</v>
      </c>
      <c r="AU33" s="41" t="s">
        <v>397</v>
      </c>
      <c r="AV33" s="9" t="s">
        <v>147</v>
      </c>
      <c r="AW33" s="41" t="s">
        <v>397</v>
      </c>
      <c r="AX33" s="41" t="s">
        <v>397</v>
      </c>
      <c r="AY33" s="41" t="s">
        <v>397</v>
      </c>
      <c r="AZ33" s="41" t="s">
        <v>397</v>
      </c>
      <c r="BA33" s="41" t="s">
        <v>397</v>
      </c>
      <c r="BB33" s="41" t="s">
        <v>397</v>
      </c>
      <c r="BC33" s="41" t="s">
        <v>397</v>
      </c>
      <c r="BD33" s="9"/>
      <c r="BE33" s="35" t="s">
        <v>152</v>
      </c>
      <c r="BQ33" s="9" t="s">
        <v>292</v>
      </c>
      <c r="CD33" s="9" t="s">
        <v>292</v>
      </c>
      <c r="CP33" t="s">
        <v>99</v>
      </c>
      <c r="CQ33" t="s">
        <v>100</v>
      </c>
    </row>
    <row r="34" spans="1:96" x14ac:dyDescent="0.2">
      <c r="A34" s="68">
        <v>662</v>
      </c>
      <c r="B34">
        <v>662</v>
      </c>
      <c r="C34" t="s">
        <v>141</v>
      </c>
      <c r="D34" t="s">
        <v>81</v>
      </c>
      <c r="E34" t="s">
        <v>339</v>
      </c>
      <c r="F34" s="8">
        <v>875.73</v>
      </c>
      <c r="G34" s="9">
        <f t="shared" si="1"/>
        <v>0</v>
      </c>
      <c r="H34" s="10"/>
      <c r="I34" s="35" t="s">
        <v>75</v>
      </c>
      <c r="J34" s="35"/>
      <c r="K34" s="9"/>
      <c r="L34" s="9"/>
      <c r="M34" s="9"/>
      <c r="N34" s="9"/>
      <c r="O34" s="9"/>
      <c r="P34" s="9"/>
      <c r="Q34" s="9"/>
      <c r="R34" s="9"/>
      <c r="S34" s="10" t="s">
        <v>292</v>
      </c>
      <c r="T34" s="8"/>
      <c r="U34" s="9"/>
      <c r="V34" s="9"/>
      <c r="W34" s="9"/>
      <c r="X34" s="9"/>
      <c r="Y34" s="10" t="s">
        <v>292</v>
      </c>
      <c r="Z34" s="35" t="s">
        <v>141</v>
      </c>
      <c r="AA34" s="8" t="s">
        <v>152</v>
      </c>
      <c r="AB34" s="9" t="s">
        <v>186</v>
      </c>
      <c r="AC34" s="114"/>
      <c r="AP34" s="9" t="s">
        <v>292</v>
      </c>
      <c r="AT34" s="8" t="s">
        <v>397</v>
      </c>
      <c r="AU34" s="9" t="s">
        <v>147</v>
      </c>
      <c r="AV34" s="9" t="s">
        <v>147</v>
      </c>
      <c r="AW34" s="41" t="s">
        <v>397</v>
      </c>
      <c r="AX34" s="9" t="s">
        <v>147</v>
      </c>
      <c r="AY34" s="41" t="s">
        <v>397</v>
      </c>
      <c r="AZ34" s="9" t="s">
        <v>147</v>
      </c>
      <c r="BA34" s="41" t="s">
        <v>397</v>
      </c>
      <c r="BB34" s="9" t="s">
        <v>147</v>
      </c>
      <c r="BC34" s="41" t="s">
        <v>397</v>
      </c>
      <c r="BD34" s="9"/>
      <c r="BE34" s="35" t="s">
        <v>75</v>
      </c>
      <c r="BQ34" s="9" t="s">
        <v>292</v>
      </c>
      <c r="CD34" s="9" t="s">
        <v>292</v>
      </c>
      <c r="CF34" s="8" t="s">
        <v>304</v>
      </c>
    </row>
    <row r="35" spans="1:96" x14ac:dyDescent="0.2">
      <c r="A35" s="68">
        <v>667</v>
      </c>
      <c r="B35">
        <v>667</v>
      </c>
      <c r="C35" t="s">
        <v>75</v>
      </c>
      <c r="D35" t="s">
        <v>81</v>
      </c>
      <c r="E35" t="s">
        <v>339</v>
      </c>
      <c r="F35" s="8">
        <v>863</v>
      </c>
      <c r="G35" s="9">
        <f t="shared" si="1"/>
        <v>863</v>
      </c>
      <c r="H35" s="10"/>
      <c r="I35" s="171" t="s">
        <v>152</v>
      </c>
      <c r="J35" s="35"/>
      <c r="K35" s="9">
        <v>0</v>
      </c>
      <c r="L35" s="9">
        <v>100</v>
      </c>
      <c r="M35" s="9">
        <v>0</v>
      </c>
      <c r="N35" s="9">
        <v>0</v>
      </c>
      <c r="O35" s="9">
        <v>0</v>
      </c>
      <c r="P35" s="9">
        <v>863</v>
      </c>
      <c r="Q35" s="9">
        <v>0</v>
      </c>
      <c r="R35" s="9">
        <v>0</v>
      </c>
      <c r="S35" s="10" t="s">
        <v>293</v>
      </c>
      <c r="T35" s="8">
        <v>45</v>
      </c>
      <c r="U35" s="9">
        <v>45</v>
      </c>
      <c r="V35" s="9">
        <v>45</v>
      </c>
      <c r="W35" s="9">
        <v>45</v>
      </c>
      <c r="X35" s="9"/>
      <c r="Y35" s="10" t="s">
        <v>293</v>
      </c>
      <c r="Z35" s="35" t="s">
        <v>75</v>
      </c>
      <c r="AA35" s="8" t="s">
        <v>75</v>
      </c>
      <c r="AB35" s="9"/>
      <c r="AC35" s="114"/>
      <c r="AP35" s="9" t="s">
        <v>292</v>
      </c>
      <c r="AT35" s="8" t="s">
        <v>397</v>
      </c>
      <c r="AU35" s="41" t="s">
        <v>397</v>
      </c>
      <c r="AV35" s="41" t="s">
        <v>397</v>
      </c>
      <c r="AW35" s="9" t="s">
        <v>147</v>
      </c>
      <c r="AX35" s="41" t="s">
        <v>397</v>
      </c>
      <c r="AY35" s="41" t="s">
        <v>397</v>
      </c>
      <c r="AZ35" s="41" t="s">
        <v>397</v>
      </c>
      <c r="BA35" s="41" t="s">
        <v>397</v>
      </c>
      <c r="BB35" s="41" t="s">
        <v>397</v>
      </c>
      <c r="BC35" s="41" t="s">
        <v>397</v>
      </c>
      <c r="BD35" s="9"/>
      <c r="BE35" s="171" t="s">
        <v>152</v>
      </c>
      <c r="BF35" s="134"/>
      <c r="BG35" s="35"/>
      <c r="BQ35" s="9" t="s">
        <v>292</v>
      </c>
      <c r="CD35" s="9" t="s">
        <v>292</v>
      </c>
      <c r="CP35" t="s">
        <v>187</v>
      </c>
      <c r="CQ35" t="s">
        <v>188</v>
      </c>
      <c r="CR35" t="s">
        <v>189</v>
      </c>
    </row>
    <row r="36" spans="1:96" x14ac:dyDescent="0.2">
      <c r="A36" s="68">
        <v>672</v>
      </c>
      <c r="B36">
        <v>672</v>
      </c>
      <c r="C36" t="s">
        <v>141</v>
      </c>
      <c r="D36" t="s">
        <v>81</v>
      </c>
      <c r="E36" t="s">
        <v>339</v>
      </c>
      <c r="F36" s="8">
        <v>750</v>
      </c>
      <c r="G36" s="9">
        <f t="shared" si="1"/>
        <v>750</v>
      </c>
      <c r="H36" s="10"/>
      <c r="I36" s="171" t="s">
        <v>152</v>
      </c>
      <c r="J36" s="35"/>
      <c r="K36" s="41">
        <v>0</v>
      </c>
      <c r="L36" s="9">
        <v>100</v>
      </c>
      <c r="M36" s="9">
        <v>0</v>
      </c>
      <c r="N36" s="9">
        <v>0</v>
      </c>
      <c r="O36" s="9">
        <v>0</v>
      </c>
      <c r="P36" s="9">
        <v>750</v>
      </c>
      <c r="Q36" s="9">
        <v>0</v>
      </c>
      <c r="R36" s="9">
        <v>0</v>
      </c>
      <c r="S36" s="10" t="s">
        <v>293</v>
      </c>
      <c r="T36" s="8">
        <v>28</v>
      </c>
      <c r="U36" s="9"/>
      <c r="V36" s="9"/>
      <c r="W36" s="9"/>
      <c r="X36" s="9"/>
      <c r="Y36" s="10" t="s">
        <v>293</v>
      </c>
      <c r="Z36" s="35"/>
      <c r="AA36" s="8"/>
      <c r="AB36" s="9"/>
      <c r="AC36" s="114"/>
      <c r="AP36" s="9" t="s">
        <v>292</v>
      </c>
      <c r="AT36" s="8" t="s">
        <v>397</v>
      </c>
      <c r="AU36" s="8" t="s">
        <v>397</v>
      </c>
      <c r="AV36" s="8" t="s">
        <v>397</v>
      </c>
      <c r="AW36" s="8" t="s">
        <v>397</v>
      </c>
      <c r="AX36" s="8" t="s">
        <v>397</v>
      </c>
      <c r="AY36" s="8" t="s">
        <v>397</v>
      </c>
      <c r="AZ36" s="8" t="s">
        <v>397</v>
      </c>
      <c r="BA36" s="8" t="s">
        <v>397</v>
      </c>
      <c r="BB36" s="8" t="s">
        <v>397</v>
      </c>
      <c r="BC36" s="8" t="s">
        <v>397</v>
      </c>
      <c r="BD36" s="9"/>
      <c r="BE36" s="171" t="s">
        <v>152</v>
      </c>
      <c r="BQ36" s="9" t="s">
        <v>292</v>
      </c>
      <c r="CD36" s="9" t="s">
        <v>292</v>
      </c>
    </row>
    <row r="37" spans="1:96" x14ac:dyDescent="0.2">
      <c r="A37" s="68">
        <v>676</v>
      </c>
      <c r="B37">
        <v>676</v>
      </c>
      <c r="C37" t="s">
        <v>75</v>
      </c>
      <c r="D37" t="s">
        <v>81</v>
      </c>
      <c r="E37" t="s">
        <v>339</v>
      </c>
      <c r="F37" s="8">
        <v>10</v>
      </c>
      <c r="G37" s="9">
        <f t="shared" si="1"/>
        <v>0</v>
      </c>
      <c r="H37" s="10"/>
      <c r="I37" s="171" t="s">
        <v>152</v>
      </c>
      <c r="J37" s="35"/>
      <c r="K37" s="9"/>
      <c r="L37" s="9"/>
      <c r="M37" s="9"/>
      <c r="N37" s="9"/>
      <c r="O37" s="9"/>
      <c r="P37" s="9"/>
      <c r="Q37" s="9"/>
      <c r="R37" s="9"/>
      <c r="S37" s="10" t="s">
        <v>292</v>
      </c>
      <c r="T37" s="8"/>
      <c r="U37" s="9"/>
      <c r="V37" s="9"/>
      <c r="W37" s="9"/>
      <c r="X37" s="9"/>
      <c r="Y37" s="10" t="s">
        <v>292</v>
      </c>
      <c r="Z37" s="35"/>
      <c r="AA37" s="8"/>
      <c r="AB37" s="9"/>
      <c r="AC37" s="114"/>
      <c r="AP37" s="9" t="s">
        <v>292</v>
      </c>
      <c r="AT37" s="8" t="s">
        <v>397</v>
      </c>
      <c r="AU37" s="8" t="s">
        <v>397</v>
      </c>
      <c r="AV37" s="8" t="s">
        <v>397</v>
      </c>
      <c r="AW37" s="8" t="s">
        <v>397</v>
      </c>
      <c r="AX37" s="8" t="s">
        <v>397</v>
      </c>
      <c r="AY37" s="8" t="s">
        <v>397</v>
      </c>
      <c r="AZ37" s="8" t="s">
        <v>397</v>
      </c>
      <c r="BA37" s="8" t="s">
        <v>397</v>
      </c>
      <c r="BB37" s="8" t="s">
        <v>397</v>
      </c>
      <c r="BC37" s="8" t="s">
        <v>397</v>
      </c>
      <c r="BD37" s="9"/>
      <c r="BE37" s="171" t="s">
        <v>152</v>
      </c>
      <c r="BQ37" s="9" t="s">
        <v>292</v>
      </c>
      <c r="CD37" s="9" t="s">
        <v>292</v>
      </c>
    </row>
    <row r="38" spans="1:96" x14ac:dyDescent="0.2">
      <c r="A38" s="68">
        <v>679</v>
      </c>
      <c r="B38">
        <v>679</v>
      </c>
      <c r="C38" t="s">
        <v>75</v>
      </c>
      <c r="D38" t="s">
        <v>81</v>
      </c>
      <c r="E38" t="s">
        <v>339</v>
      </c>
      <c r="F38" s="8">
        <v>4000</v>
      </c>
      <c r="G38" s="9">
        <f t="shared" si="1"/>
        <v>4000</v>
      </c>
      <c r="H38" s="10"/>
      <c r="I38" s="35" t="s">
        <v>152</v>
      </c>
      <c r="J38" s="35"/>
      <c r="K38" s="9">
        <v>100</v>
      </c>
      <c r="L38" s="9">
        <v>0</v>
      </c>
      <c r="M38" s="9">
        <v>0</v>
      </c>
      <c r="N38" s="9">
        <v>0</v>
      </c>
      <c r="O38" s="9">
        <v>4000</v>
      </c>
      <c r="P38" s="9">
        <v>0</v>
      </c>
      <c r="Q38" s="9">
        <v>0</v>
      </c>
      <c r="R38" s="9">
        <v>0</v>
      </c>
      <c r="S38" s="10" t="s">
        <v>293</v>
      </c>
      <c r="T38" s="8"/>
      <c r="U38" s="9"/>
      <c r="V38" s="9"/>
      <c r="W38" s="9"/>
      <c r="X38" s="9"/>
      <c r="Y38" s="10" t="s">
        <v>292</v>
      </c>
      <c r="Z38" s="35" t="s">
        <v>75</v>
      </c>
      <c r="AA38" s="8" t="s">
        <v>74</v>
      </c>
      <c r="AB38" s="9" t="s">
        <v>82</v>
      </c>
      <c r="AC38" s="114"/>
      <c r="AD38" s="8">
        <v>0</v>
      </c>
      <c r="AE38" s="9">
        <v>50</v>
      </c>
      <c r="AF38" s="9">
        <v>40</v>
      </c>
      <c r="AG38" s="9">
        <v>10</v>
      </c>
      <c r="AH38" s="9">
        <v>0</v>
      </c>
      <c r="AI38" s="9">
        <v>0</v>
      </c>
      <c r="AJ38" s="9">
        <v>0</v>
      </c>
      <c r="AK38" s="9">
        <v>2000</v>
      </c>
      <c r="AL38" s="9">
        <v>1600</v>
      </c>
      <c r="AM38" s="9">
        <v>400</v>
      </c>
      <c r="AN38" s="9">
        <v>0</v>
      </c>
      <c r="AO38" s="9">
        <v>0</v>
      </c>
      <c r="AP38" s="9" t="s">
        <v>293</v>
      </c>
      <c r="AT38" s="8" t="s">
        <v>397</v>
      </c>
      <c r="AU38" s="8" t="s">
        <v>397</v>
      </c>
      <c r="AV38" s="8" t="s">
        <v>397</v>
      </c>
      <c r="AW38" s="8" t="s">
        <v>397</v>
      </c>
      <c r="AX38" s="8" t="s">
        <v>397</v>
      </c>
      <c r="AY38" s="8" t="s">
        <v>397</v>
      </c>
      <c r="AZ38" s="8" t="s">
        <v>397</v>
      </c>
      <c r="BA38" s="8" t="s">
        <v>397</v>
      </c>
      <c r="BB38" s="8" t="s">
        <v>397</v>
      </c>
      <c r="BC38" s="8" t="s">
        <v>397</v>
      </c>
      <c r="BD38" s="9"/>
      <c r="BE38" s="35" t="s">
        <v>152</v>
      </c>
      <c r="BQ38" s="9" t="s">
        <v>292</v>
      </c>
      <c r="CD38" s="9" t="s">
        <v>292</v>
      </c>
    </row>
    <row r="39" spans="1:96" x14ac:dyDescent="0.2">
      <c r="A39" s="68">
        <v>680</v>
      </c>
      <c r="B39">
        <v>680</v>
      </c>
      <c r="C39" t="s">
        <v>75</v>
      </c>
      <c r="D39" t="s">
        <v>81</v>
      </c>
      <c r="E39" t="s">
        <v>339</v>
      </c>
      <c r="F39" s="8">
        <v>1513</v>
      </c>
      <c r="G39" s="9">
        <f t="shared" si="1"/>
        <v>0</v>
      </c>
      <c r="H39" s="10"/>
      <c r="I39" s="35" t="s">
        <v>75</v>
      </c>
      <c r="J39" s="35"/>
      <c r="K39" s="9"/>
      <c r="L39" s="9"/>
      <c r="M39" s="9"/>
      <c r="N39" s="9"/>
      <c r="O39" s="9"/>
      <c r="P39" s="9"/>
      <c r="Q39" s="9"/>
      <c r="R39" s="9"/>
      <c r="S39" s="10" t="s">
        <v>292</v>
      </c>
      <c r="T39" s="8">
        <v>60</v>
      </c>
      <c r="U39" s="9">
        <v>50</v>
      </c>
      <c r="V39" s="9"/>
      <c r="W39" s="9"/>
      <c r="X39" s="9" t="s">
        <v>297</v>
      </c>
      <c r="Y39" s="10" t="s">
        <v>293</v>
      </c>
      <c r="Z39" s="35" t="s">
        <v>74</v>
      </c>
      <c r="AA39" s="8"/>
      <c r="AB39" s="9"/>
      <c r="AC39" s="114"/>
      <c r="AP39" s="9" t="s">
        <v>292</v>
      </c>
      <c r="AT39" s="8" t="s">
        <v>397</v>
      </c>
      <c r="AU39" s="9" t="s">
        <v>147</v>
      </c>
      <c r="AV39" s="9" t="s">
        <v>147</v>
      </c>
      <c r="AW39" s="9" t="s">
        <v>147</v>
      </c>
      <c r="AX39" s="9" t="s">
        <v>147</v>
      </c>
      <c r="AY39" s="9" t="s">
        <v>147</v>
      </c>
      <c r="AZ39" s="9" t="s">
        <v>147</v>
      </c>
      <c r="BA39" s="9" t="s">
        <v>147</v>
      </c>
      <c r="BB39" s="9" t="s">
        <v>147</v>
      </c>
      <c r="BC39" s="9" t="s">
        <v>147</v>
      </c>
      <c r="BD39" s="9"/>
      <c r="BE39" s="35" t="s">
        <v>75</v>
      </c>
      <c r="BQ39" s="9" t="s">
        <v>292</v>
      </c>
      <c r="BT39" s="35">
        <v>0</v>
      </c>
      <c r="BU39" s="8">
        <v>20</v>
      </c>
      <c r="BV39" s="9">
        <v>0</v>
      </c>
      <c r="BW39" s="9">
        <v>30</v>
      </c>
      <c r="BX39" s="9">
        <v>0</v>
      </c>
      <c r="CD39" s="9" t="s">
        <v>293</v>
      </c>
      <c r="CF39" s="8" t="s">
        <v>304</v>
      </c>
      <c r="CG39" s="10" t="s">
        <v>84</v>
      </c>
      <c r="CH39" s="8" t="s">
        <v>75</v>
      </c>
      <c r="CP39" t="s">
        <v>85</v>
      </c>
    </row>
    <row r="40" spans="1:96" x14ac:dyDescent="0.2">
      <c r="A40" s="68">
        <v>693</v>
      </c>
      <c r="B40">
        <v>693</v>
      </c>
      <c r="C40" t="s">
        <v>141</v>
      </c>
      <c r="D40" t="s">
        <v>342</v>
      </c>
      <c r="E40" t="s">
        <v>339</v>
      </c>
      <c r="F40" s="8">
        <v>79200</v>
      </c>
      <c r="G40" s="9">
        <f t="shared" si="1"/>
        <v>0</v>
      </c>
      <c r="H40" s="10"/>
      <c r="I40" s="171" t="s">
        <v>152</v>
      </c>
      <c r="J40" s="35"/>
      <c r="K40" s="9"/>
      <c r="L40" s="9"/>
      <c r="M40" s="9"/>
      <c r="N40" s="9"/>
      <c r="O40" s="9"/>
      <c r="P40" s="9"/>
      <c r="Q40" s="9"/>
      <c r="R40" s="9"/>
      <c r="S40" s="10" t="s">
        <v>292</v>
      </c>
      <c r="T40" s="8"/>
      <c r="U40" s="9"/>
      <c r="V40" s="9"/>
      <c r="W40" s="9"/>
      <c r="X40" s="9"/>
      <c r="Y40" s="10" t="s">
        <v>292</v>
      </c>
      <c r="Z40" s="35"/>
      <c r="AA40" s="8"/>
      <c r="AB40" s="9"/>
      <c r="AC40" s="114"/>
      <c r="AP40" s="9" t="s">
        <v>292</v>
      </c>
      <c r="AT40" s="8" t="s">
        <v>397</v>
      </c>
      <c r="AU40" s="8" t="s">
        <v>397</v>
      </c>
      <c r="AV40" s="8" t="s">
        <v>397</v>
      </c>
      <c r="AW40" s="8" t="s">
        <v>397</v>
      </c>
      <c r="AX40" s="8" t="s">
        <v>397</v>
      </c>
      <c r="AY40" s="8" t="s">
        <v>397</v>
      </c>
      <c r="AZ40" s="8" t="s">
        <v>397</v>
      </c>
      <c r="BA40" s="8" t="s">
        <v>397</v>
      </c>
      <c r="BB40" s="8" t="s">
        <v>397</v>
      </c>
      <c r="BC40" s="8" t="s">
        <v>397</v>
      </c>
      <c r="BD40" s="9"/>
      <c r="BE40" s="171" t="s">
        <v>152</v>
      </c>
      <c r="BQ40" s="9" t="s">
        <v>292</v>
      </c>
      <c r="CD40" s="9" t="s">
        <v>292</v>
      </c>
    </row>
    <row r="41" spans="1:96" x14ac:dyDescent="0.2">
      <c r="A41" s="68">
        <v>731</v>
      </c>
      <c r="B41">
        <v>731</v>
      </c>
      <c r="C41" t="s">
        <v>75</v>
      </c>
      <c r="D41" t="s">
        <v>127</v>
      </c>
      <c r="E41" t="s">
        <v>338</v>
      </c>
      <c r="F41" s="8">
        <v>4500</v>
      </c>
      <c r="G41" s="9">
        <f t="shared" si="1"/>
        <v>4500</v>
      </c>
      <c r="H41" s="10"/>
      <c r="I41" s="170" t="s">
        <v>152</v>
      </c>
      <c r="J41" s="35"/>
      <c r="K41" s="9">
        <v>0</v>
      </c>
      <c r="L41" s="9">
        <v>100</v>
      </c>
      <c r="M41" s="9">
        <v>0</v>
      </c>
      <c r="N41" s="9">
        <v>0</v>
      </c>
      <c r="O41" s="9">
        <v>0</v>
      </c>
      <c r="P41" s="9">
        <v>4500</v>
      </c>
      <c r="Q41" s="9">
        <v>0</v>
      </c>
      <c r="R41" s="9">
        <v>0</v>
      </c>
      <c r="S41" s="10" t="s">
        <v>293</v>
      </c>
      <c r="T41" s="8">
        <v>60</v>
      </c>
      <c r="U41" s="9"/>
      <c r="V41" s="9"/>
      <c r="W41" s="9"/>
      <c r="X41" s="9" t="s">
        <v>297</v>
      </c>
      <c r="Y41" s="10" t="s">
        <v>293</v>
      </c>
      <c r="Z41" s="35" t="s">
        <v>75</v>
      </c>
      <c r="AA41" s="8" t="s">
        <v>75</v>
      </c>
      <c r="AB41" s="9"/>
      <c r="AC41" s="114"/>
      <c r="AP41" s="9" t="s">
        <v>292</v>
      </c>
      <c r="AT41" s="8" t="s">
        <v>397</v>
      </c>
      <c r="AU41" s="41" t="s">
        <v>397</v>
      </c>
      <c r="AV41" s="9" t="s">
        <v>151</v>
      </c>
      <c r="AW41" s="41" t="s">
        <v>397</v>
      </c>
      <c r="AX41" s="9" t="s">
        <v>147</v>
      </c>
      <c r="AY41" s="41" t="s">
        <v>397</v>
      </c>
      <c r="AZ41" s="41" t="s">
        <v>397</v>
      </c>
      <c r="BA41" s="41" t="s">
        <v>397</v>
      </c>
      <c r="BB41" s="169" t="s">
        <v>397</v>
      </c>
      <c r="BC41" s="169" t="s">
        <v>397</v>
      </c>
      <c r="BD41" s="9"/>
      <c r="BE41" s="170" t="s">
        <v>152</v>
      </c>
      <c r="BQ41" s="9" t="s">
        <v>292</v>
      </c>
      <c r="BT41" s="35">
        <v>0</v>
      </c>
      <c r="BU41" s="8">
        <v>18</v>
      </c>
      <c r="BV41" s="9">
        <v>0</v>
      </c>
      <c r="CD41" s="9" t="s">
        <v>293</v>
      </c>
      <c r="CF41" s="8" t="s">
        <v>74</v>
      </c>
      <c r="CP41" t="s">
        <v>128</v>
      </c>
      <c r="CQ41" t="s">
        <v>129</v>
      </c>
    </row>
    <row r="42" spans="1:96" x14ac:dyDescent="0.2">
      <c r="A42" s="68">
        <v>733</v>
      </c>
      <c r="B42">
        <v>733</v>
      </c>
      <c r="C42" t="s">
        <v>141</v>
      </c>
      <c r="D42" t="s">
        <v>343</v>
      </c>
      <c r="E42" t="s">
        <v>341</v>
      </c>
      <c r="F42" s="8">
        <v>37203</v>
      </c>
      <c r="G42" s="9">
        <f t="shared" si="1"/>
        <v>37203.000000000007</v>
      </c>
      <c r="H42" s="10"/>
      <c r="I42" s="170" t="s">
        <v>141</v>
      </c>
      <c r="J42" s="35"/>
      <c r="K42" s="9">
        <v>0</v>
      </c>
      <c r="L42" s="9">
        <v>95.380079476990133</v>
      </c>
      <c r="M42" s="9">
        <v>0</v>
      </c>
      <c r="N42" s="9">
        <v>4.6199205230098705</v>
      </c>
      <c r="O42" s="9">
        <v>0</v>
      </c>
      <c r="P42" s="9">
        <v>35484.250967824642</v>
      </c>
      <c r="Q42" s="9">
        <v>0</v>
      </c>
      <c r="R42" s="9">
        <v>1718.7490321753623</v>
      </c>
      <c r="S42" s="10" t="s">
        <v>293</v>
      </c>
      <c r="T42" s="8">
        <v>57</v>
      </c>
      <c r="U42" s="9"/>
      <c r="V42" s="9"/>
      <c r="W42" s="9"/>
      <c r="X42" s="9" t="s">
        <v>297</v>
      </c>
      <c r="Y42" s="10" t="s">
        <v>293</v>
      </c>
      <c r="Z42" s="35" t="s">
        <v>141</v>
      </c>
      <c r="AA42" s="8" t="s">
        <v>141</v>
      </c>
      <c r="AB42" s="9"/>
      <c r="AC42" s="114"/>
      <c r="AP42" s="9" t="s">
        <v>292</v>
      </c>
      <c r="AT42" s="8" t="s">
        <v>397</v>
      </c>
      <c r="AU42" s="41" t="s">
        <v>397</v>
      </c>
      <c r="AV42" s="41" t="s">
        <v>397</v>
      </c>
      <c r="AW42" s="41" t="s">
        <v>397</v>
      </c>
      <c r="AX42" s="9" t="s">
        <v>147</v>
      </c>
      <c r="AY42" s="9" t="s">
        <v>147</v>
      </c>
      <c r="AZ42" s="9" t="s">
        <v>151</v>
      </c>
      <c r="BA42" s="41" t="s">
        <v>397</v>
      </c>
      <c r="BB42" s="169" t="s">
        <v>147</v>
      </c>
      <c r="BC42" s="169" t="s">
        <v>147</v>
      </c>
      <c r="BD42" s="9"/>
      <c r="BE42" s="170" t="s">
        <v>141</v>
      </c>
      <c r="BQ42" s="9" t="s">
        <v>292</v>
      </c>
      <c r="BT42" s="35">
        <v>50</v>
      </c>
      <c r="CC42" s="9" t="s">
        <v>141</v>
      </c>
      <c r="CD42" s="9" t="s">
        <v>293</v>
      </c>
      <c r="CF42" s="8" t="s">
        <v>304</v>
      </c>
      <c r="CG42" s="10" t="s">
        <v>190</v>
      </c>
      <c r="CH42" s="8" t="s">
        <v>75</v>
      </c>
      <c r="CI42" s="9">
        <v>0</v>
      </c>
      <c r="CP42" t="s">
        <v>191</v>
      </c>
    </row>
    <row r="43" spans="1:96" s="196" customFormat="1" x14ac:dyDescent="0.2">
      <c r="A43" s="195">
        <v>735</v>
      </c>
      <c r="B43" s="196">
        <v>735</v>
      </c>
      <c r="C43" s="196" t="s">
        <v>141</v>
      </c>
      <c r="D43" s="196" t="s">
        <v>76</v>
      </c>
      <c r="E43" s="196" t="s">
        <v>341</v>
      </c>
      <c r="F43" s="197">
        <f>26972*4.8</f>
        <v>129465.59999999999</v>
      </c>
      <c r="G43" s="198">
        <f t="shared" si="1"/>
        <v>129465</v>
      </c>
      <c r="H43" s="199" t="s">
        <v>141</v>
      </c>
      <c r="I43" s="200" t="s">
        <v>141</v>
      </c>
      <c r="J43" s="200"/>
      <c r="K43" s="198">
        <v>0</v>
      </c>
      <c r="L43" s="198">
        <v>0</v>
      </c>
      <c r="M43" s="198">
        <v>100</v>
      </c>
      <c r="N43" s="198">
        <v>0</v>
      </c>
      <c r="O43" s="198">
        <v>0</v>
      </c>
      <c r="P43" s="198">
        <v>0</v>
      </c>
      <c r="Q43" s="198">
        <v>129465</v>
      </c>
      <c r="R43" s="198">
        <v>0</v>
      </c>
      <c r="S43" s="199" t="s">
        <v>293</v>
      </c>
      <c r="T43" s="197"/>
      <c r="U43" s="198"/>
      <c r="V43" s="198"/>
      <c r="W43" s="198"/>
      <c r="X43" s="198"/>
      <c r="Y43" s="199" t="s">
        <v>292</v>
      </c>
      <c r="Z43" s="200" t="s">
        <v>141</v>
      </c>
      <c r="AA43" s="197" t="s">
        <v>152</v>
      </c>
      <c r="AB43" s="198" t="s">
        <v>192</v>
      </c>
      <c r="AC43" s="198"/>
      <c r="AD43" s="197"/>
      <c r="AE43" s="198"/>
      <c r="AF43" s="198"/>
      <c r="AG43" s="198"/>
      <c r="AH43" s="198"/>
      <c r="AI43" s="198"/>
      <c r="AJ43" s="198"/>
      <c r="AK43" s="198"/>
      <c r="AL43" s="198"/>
      <c r="AM43" s="198"/>
      <c r="AN43" s="198"/>
      <c r="AO43" s="198"/>
      <c r="AP43" s="198" t="s">
        <v>292</v>
      </c>
      <c r="AQ43" s="199"/>
      <c r="AR43" s="198"/>
      <c r="AS43" s="198"/>
      <c r="AT43" s="197" t="s">
        <v>147</v>
      </c>
      <c r="AU43" s="198" t="s">
        <v>147</v>
      </c>
      <c r="AV43" s="198" t="s">
        <v>147</v>
      </c>
      <c r="AW43" s="198" t="s">
        <v>397</v>
      </c>
      <c r="AX43" s="198" t="s">
        <v>147</v>
      </c>
      <c r="AY43" s="198" t="s">
        <v>147</v>
      </c>
      <c r="AZ43" s="198" t="s">
        <v>147</v>
      </c>
      <c r="BA43" s="198" t="s">
        <v>397</v>
      </c>
      <c r="BB43" s="198" t="s">
        <v>147</v>
      </c>
      <c r="BC43" s="198" t="s">
        <v>147</v>
      </c>
      <c r="BD43" s="198"/>
      <c r="BE43" s="200" t="s">
        <v>141</v>
      </c>
      <c r="BF43" s="197"/>
      <c r="BG43" s="197"/>
      <c r="BH43" s="198"/>
      <c r="BI43" s="198"/>
      <c r="BJ43" s="198"/>
      <c r="BK43" s="198"/>
      <c r="BL43" s="198"/>
      <c r="BM43" s="198"/>
      <c r="BN43" s="198"/>
      <c r="BO43" s="198"/>
      <c r="BP43" s="198"/>
      <c r="BQ43" s="198" t="s">
        <v>292</v>
      </c>
      <c r="BR43" s="199"/>
      <c r="BS43" s="199"/>
      <c r="BT43" s="200"/>
      <c r="BU43" s="197"/>
      <c r="BV43" s="198"/>
      <c r="BW43" s="198"/>
      <c r="BX43" s="198"/>
      <c r="BY43" s="198"/>
      <c r="BZ43" s="198"/>
      <c r="CA43" s="198"/>
      <c r="CB43" s="198"/>
      <c r="CC43" s="198"/>
      <c r="CD43" s="198" t="s">
        <v>292</v>
      </c>
      <c r="CE43" s="198"/>
      <c r="CF43" s="197"/>
      <c r="CG43" s="199"/>
      <c r="CH43" s="197"/>
      <c r="CI43" s="198"/>
      <c r="CJ43" s="197"/>
      <c r="CK43" s="198"/>
      <c r="CL43" s="198"/>
      <c r="CM43" s="198"/>
      <c r="CN43" s="198"/>
      <c r="CO43" s="199"/>
      <c r="CP43" s="196" t="s">
        <v>193</v>
      </c>
      <c r="CQ43" s="196" t="s">
        <v>194</v>
      </c>
      <c r="CR43" s="196" t="s">
        <v>195</v>
      </c>
    </row>
    <row r="44" spans="1:96" s="196" customFormat="1" x14ac:dyDescent="0.2">
      <c r="A44" s="195">
        <v>736</v>
      </c>
      <c r="B44" s="196">
        <v>736</v>
      </c>
      <c r="C44" s="196" t="s">
        <v>141</v>
      </c>
      <c r="D44" s="196" t="s">
        <v>76</v>
      </c>
      <c r="E44" s="196" t="s">
        <v>341</v>
      </c>
      <c r="F44" s="197">
        <f>15000*4.8</f>
        <v>72000</v>
      </c>
      <c r="G44" s="198">
        <f t="shared" si="1"/>
        <v>72000</v>
      </c>
      <c r="H44" s="199" t="s">
        <v>141</v>
      </c>
      <c r="I44" s="200" t="s">
        <v>141</v>
      </c>
      <c r="J44" s="200"/>
      <c r="K44" s="198">
        <v>0</v>
      </c>
      <c r="L44" s="198">
        <v>50</v>
      </c>
      <c r="M44" s="198">
        <v>50</v>
      </c>
      <c r="N44" s="198">
        <v>0</v>
      </c>
      <c r="O44" s="198">
        <v>0</v>
      </c>
      <c r="P44" s="198">
        <v>36000</v>
      </c>
      <c r="Q44" s="198">
        <v>36000</v>
      </c>
      <c r="R44" s="198">
        <v>0</v>
      </c>
      <c r="S44" s="199" t="s">
        <v>293</v>
      </c>
      <c r="T44" s="197"/>
      <c r="U44" s="198">
        <f>12*4.8</f>
        <v>57.599999999999994</v>
      </c>
      <c r="V44" s="198">
        <v>0</v>
      </c>
      <c r="W44" s="198"/>
      <c r="X44" s="198" t="s">
        <v>141</v>
      </c>
      <c r="Y44" s="199" t="s">
        <v>293</v>
      </c>
      <c r="Z44" s="200" t="s">
        <v>141</v>
      </c>
      <c r="AA44" s="197" t="s">
        <v>141</v>
      </c>
      <c r="AB44" s="198"/>
      <c r="AC44" s="198"/>
      <c r="AD44" s="197"/>
      <c r="AE44" s="198"/>
      <c r="AF44" s="198"/>
      <c r="AG44" s="198"/>
      <c r="AH44" s="198"/>
      <c r="AI44" s="198"/>
      <c r="AJ44" s="198"/>
      <c r="AK44" s="198"/>
      <c r="AL44" s="198"/>
      <c r="AM44" s="198"/>
      <c r="AN44" s="198"/>
      <c r="AO44" s="198"/>
      <c r="AP44" s="198" t="s">
        <v>292</v>
      </c>
      <c r="AQ44" s="199"/>
      <c r="AR44" s="198"/>
      <c r="AS44" s="198"/>
      <c r="AT44" s="197" t="s">
        <v>397</v>
      </c>
      <c r="AU44" s="198" t="s">
        <v>397</v>
      </c>
      <c r="AV44" s="198" t="s">
        <v>147</v>
      </c>
      <c r="AW44" s="198" t="s">
        <v>397</v>
      </c>
      <c r="AX44" s="198" t="s">
        <v>147</v>
      </c>
      <c r="AY44" s="198" t="s">
        <v>397</v>
      </c>
      <c r="AZ44" s="198" t="s">
        <v>147</v>
      </c>
      <c r="BA44" s="198" t="s">
        <v>397</v>
      </c>
      <c r="BB44" s="198" t="s">
        <v>147</v>
      </c>
      <c r="BC44" s="198" t="s">
        <v>147</v>
      </c>
      <c r="BD44" s="198"/>
      <c r="BE44" s="200" t="s">
        <v>141</v>
      </c>
      <c r="BF44" s="197"/>
      <c r="BG44" s="197"/>
      <c r="BH44" s="198"/>
      <c r="BI44" s="198"/>
      <c r="BJ44" s="198"/>
      <c r="BK44" s="198"/>
      <c r="BL44" s="198"/>
      <c r="BM44" s="198"/>
      <c r="BN44" s="198"/>
      <c r="BO44" s="198"/>
      <c r="BP44" s="198"/>
      <c r="BQ44" s="198" t="s">
        <v>292</v>
      </c>
      <c r="BR44" s="199"/>
      <c r="BS44" s="199"/>
      <c r="BT44" s="200">
        <v>0</v>
      </c>
      <c r="BU44" s="197"/>
      <c r="BV44" s="198"/>
      <c r="BW44" s="198"/>
      <c r="BX44" s="198"/>
      <c r="BY44" s="198"/>
      <c r="BZ44" s="198"/>
      <c r="CA44" s="198"/>
      <c r="CB44" s="198"/>
      <c r="CC44" s="198" t="s">
        <v>141</v>
      </c>
      <c r="CD44" s="198" t="s">
        <v>293</v>
      </c>
      <c r="CE44" s="198"/>
      <c r="CF44" s="197" t="s">
        <v>152</v>
      </c>
      <c r="CG44" s="199"/>
      <c r="CH44" s="197" t="s">
        <v>141</v>
      </c>
      <c r="CI44" s="197">
        <v>0</v>
      </c>
      <c r="CJ44" s="197"/>
      <c r="CK44" s="198"/>
      <c r="CL44" s="198"/>
      <c r="CM44" s="198"/>
      <c r="CN44" s="198"/>
      <c r="CO44" s="199"/>
      <c r="CP44" s="196" t="s">
        <v>196</v>
      </c>
    </row>
    <row r="45" spans="1:96" s="196" customFormat="1" x14ac:dyDescent="0.2">
      <c r="A45" s="195">
        <v>741</v>
      </c>
      <c r="B45" s="196">
        <v>741</v>
      </c>
      <c r="C45" s="196" t="s">
        <v>141</v>
      </c>
      <c r="D45" s="196" t="s">
        <v>76</v>
      </c>
      <c r="E45" s="196" t="s">
        <v>341</v>
      </c>
      <c r="F45" s="197">
        <f>5800*4.8</f>
        <v>27840</v>
      </c>
      <c r="G45" s="198">
        <f t="shared" si="1"/>
        <v>27840</v>
      </c>
      <c r="H45" s="199" t="s">
        <v>141</v>
      </c>
      <c r="I45" s="200" t="s">
        <v>152</v>
      </c>
      <c r="J45" s="200"/>
      <c r="K45" s="198">
        <v>30.29969807874814</v>
      </c>
      <c r="L45" s="198">
        <v>69.700301921251864</v>
      </c>
      <c r="M45" s="198">
        <v>0</v>
      </c>
      <c r="N45" s="198">
        <v>0</v>
      </c>
      <c r="O45" s="198">
        <f>(K45*$F$45)*0.01</f>
        <v>8435.4359451234814</v>
      </c>
      <c r="P45" s="198">
        <f t="shared" ref="P45:R45" si="4">(L45*$F$45)*0.01</f>
        <v>19404.564054876519</v>
      </c>
      <c r="Q45" s="198">
        <f t="shared" si="4"/>
        <v>0</v>
      </c>
      <c r="R45" s="198">
        <f t="shared" si="4"/>
        <v>0</v>
      </c>
      <c r="S45" s="199" t="s">
        <v>293</v>
      </c>
      <c r="T45" s="197"/>
      <c r="U45" s="198">
        <f>5*4.8</f>
        <v>24</v>
      </c>
      <c r="V45" s="198"/>
      <c r="W45" s="198"/>
      <c r="X45" s="198" t="s">
        <v>141</v>
      </c>
      <c r="Y45" s="199" t="s">
        <v>293</v>
      </c>
      <c r="Z45" s="200" t="s">
        <v>141</v>
      </c>
      <c r="AA45" s="197" t="s">
        <v>141</v>
      </c>
      <c r="AB45" s="198"/>
      <c r="AC45" s="198"/>
      <c r="AD45" s="197">
        <v>0</v>
      </c>
      <c r="AE45" s="198">
        <v>95</v>
      </c>
      <c r="AF45" s="198">
        <v>0</v>
      </c>
      <c r="AG45" s="198">
        <v>0</v>
      </c>
      <c r="AH45" s="198">
        <v>5</v>
      </c>
      <c r="AI45" s="198">
        <v>0</v>
      </c>
      <c r="AJ45" s="198">
        <v>0</v>
      </c>
      <c r="AK45" s="198">
        <v>347.70120078241342</v>
      </c>
      <c r="AL45" s="198">
        <v>0</v>
      </c>
      <c r="AM45" s="198">
        <v>0</v>
      </c>
      <c r="AN45" s="198">
        <v>18.300063199074394</v>
      </c>
      <c r="AO45" s="198">
        <v>0</v>
      </c>
      <c r="AP45" s="198" t="s">
        <v>293</v>
      </c>
      <c r="AQ45" s="199"/>
      <c r="AR45" s="198"/>
      <c r="AS45" s="198"/>
      <c r="AT45" s="197" t="s">
        <v>147</v>
      </c>
      <c r="AU45" s="198" t="s">
        <v>147</v>
      </c>
      <c r="AV45" s="198" t="s">
        <v>147</v>
      </c>
      <c r="AW45" s="198" t="s">
        <v>397</v>
      </c>
      <c r="AX45" s="198" t="s">
        <v>147</v>
      </c>
      <c r="AY45" s="198" t="s">
        <v>397</v>
      </c>
      <c r="AZ45" s="198" t="s">
        <v>147</v>
      </c>
      <c r="BA45" s="198" t="s">
        <v>397</v>
      </c>
      <c r="BB45" s="198" t="s">
        <v>397</v>
      </c>
      <c r="BC45" s="198" t="s">
        <v>397</v>
      </c>
      <c r="BD45" s="198"/>
      <c r="BE45" s="200" t="s">
        <v>152</v>
      </c>
      <c r="BF45" s="197"/>
      <c r="BG45" s="197"/>
      <c r="BH45" s="198"/>
      <c r="BI45" s="198"/>
      <c r="BJ45" s="198"/>
      <c r="BK45" s="198"/>
      <c r="BL45" s="198"/>
      <c r="BM45" s="198"/>
      <c r="BN45" s="198"/>
      <c r="BO45" s="198"/>
      <c r="BP45" s="198"/>
      <c r="BQ45" s="198" t="s">
        <v>292</v>
      </c>
      <c r="BR45" s="199"/>
      <c r="BS45" s="199"/>
      <c r="BT45" s="200"/>
      <c r="BU45" s="197"/>
      <c r="BV45" s="198"/>
      <c r="BW45" s="198"/>
      <c r="BX45" s="198"/>
      <c r="BY45" s="198"/>
      <c r="BZ45" s="198"/>
      <c r="CA45" s="198"/>
      <c r="CB45" s="198"/>
      <c r="CC45" s="198" t="s">
        <v>141</v>
      </c>
      <c r="CD45" s="198" t="s">
        <v>293</v>
      </c>
      <c r="CE45" s="198"/>
      <c r="CF45" s="197" t="s">
        <v>152</v>
      </c>
      <c r="CG45" s="199"/>
      <c r="CH45" s="197"/>
      <c r="CI45" s="198"/>
      <c r="CJ45" s="197"/>
      <c r="CK45" s="198"/>
      <c r="CL45" s="198"/>
      <c r="CM45" s="198"/>
      <c r="CN45" s="198"/>
      <c r="CO45" s="199"/>
      <c r="CP45" s="196" t="s">
        <v>197</v>
      </c>
      <c r="CQ45" s="196" t="s">
        <v>198</v>
      </c>
      <c r="CR45" s="196" t="s">
        <v>199</v>
      </c>
    </row>
    <row r="46" spans="1:96" x14ac:dyDescent="0.2">
      <c r="A46" s="68">
        <v>742</v>
      </c>
      <c r="B46">
        <v>742</v>
      </c>
      <c r="C46" t="s">
        <v>141</v>
      </c>
      <c r="D46" t="s">
        <v>76</v>
      </c>
      <c r="E46" t="s">
        <v>341</v>
      </c>
      <c r="F46" s="8">
        <v>2585</v>
      </c>
      <c r="G46" s="9">
        <f t="shared" si="1"/>
        <v>2585</v>
      </c>
      <c r="H46" s="10"/>
      <c r="I46" s="170" t="s">
        <v>141</v>
      </c>
      <c r="J46" s="35"/>
      <c r="K46" s="9">
        <v>25</v>
      </c>
      <c r="L46" s="9">
        <v>65</v>
      </c>
      <c r="M46" s="9">
        <v>5</v>
      </c>
      <c r="N46" s="9">
        <v>5</v>
      </c>
      <c r="O46" s="9">
        <v>646.25</v>
      </c>
      <c r="P46" s="9">
        <v>1680.25</v>
      </c>
      <c r="Q46" s="9">
        <v>129.25</v>
      </c>
      <c r="R46" s="9">
        <v>129.25</v>
      </c>
      <c r="S46" s="10" t="s">
        <v>293</v>
      </c>
      <c r="T46" s="8">
        <v>53</v>
      </c>
      <c r="U46" s="9">
        <v>0</v>
      </c>
      <c r="V46" s="9">
        <v>23</v>
      </c>
      <c r="W46" s="9">
        <v>0</v>
      </c>
      <c r="X46" s="9"/>
      <c r="Y46" s="10" t="s">
        <v>292</v>
      </c>
      <c r="Z46" s="35" t="s">
        <v>75</v>
      </c>
      <c r="AA46" s="8" t="s">
        <v>200</v>
      </c>
      <c r="AB46" s="9"/>
      <c r="AC46" s="114"/>
      <c r="AD46" s="8">
        <v>10</v>
      </c>
      <c r="AE46" s="9">
        <v>50</v>
      </c>
      <c r="AF46" s="9">
        <v>10</v>
      </c>
      <c r="AG46" s="9">
        <v>10</v>
      </c>
      <c r="AH46" s="9">
        <v>10</v>
      </c>
      <c r="AI46" s="9">
        <v>10</v>
      </c>
      <c r="AJ46" s="9">
        <v>64.625</v>
      </c>
      <c r="AK46" s="9">
        <v>323.125</v>
      </c>
      <c r="AL46" s="9">
        <v>64.625</v>
      </c>
      <c r="AM46" s="9">
        <v>64.625</v>
      </c>
      <c r="AN46" s="9">
        <v>64.625</v>
      </c>
      <c r="AO46" s="9">
        <v>64.625</v>
      </c>
      <c r="AP46" s="9" t="s">
        <v>293</v>
      </c>
      <c r="AT46" s="8" t="s">
        <v>397</v>
      </c>
      <c r="AU46" s="9" t="s">
        <v>147</v>
      </c>
      <c r="AV46" s="9" t="s">
        <v>147</v>
      </c>
      <c r="AW46" s="41" t="s">
        <v>397</v>
      </c>
      <c r="AX46" s="9" t="s">
        <v>147</v>
      </c>
      <c r="AY46" s="41" t="s">
        <v>397</v>
      </c>
      <c r="AZ46" s="41" t="s">
        <v>397</v>
      </c>
      <c r="BA46" s="41" t="s">
        <v>397</v>
      </c>
      <c r="BB46" s="172" t="s">
        <v>147</v>
      </c>
      <c r="BC46" s="169" t="s">
        <v>147</v>
      </c>
      <c r="BD46" s="9"/>
      <c r="BE46" s="170" t="s">
        <v>141</v>
      </c>
      <c r="BG46" s="8">
        <v>100</v>
      </c>
      <c r="BH46" s="9">
        <v>0</v>
      </c>
      <c r="BI46" s="9">
        <v>0</v>
      </c>
      <c r="BJ46" s="9">
        <v>0</v>
      </c>
      <c r="BK46" s="9">
        <v>0</v>
      </c>
      <c r="BL46" s="9">
        <v>129.25</v>
      </c>
      <c r="BM46" s="9">
        <v>0</v>
      </c>
      <c r="BN46" s="9">
        <v>0</v>
      </c>
      <c r="BO46" s="9">
        <v>0</v>
      </c>
      <c r="BP46" s="9">
        <v>0</v>
      </c>
      <c r="BQ46" s="9" t="s">
        <v>293</v>
      </c>
      <c r="CC46" s="9" t="s">
        <v>141</v>
      </c>
      <c r="CD46" s="9" t="s">
        <v>293</v>
      </c>
      <c r="CF46" s="8" t="s">
        <v>152</v>
      </c>
      <c r="CP46" t="s">
        <v>201</v>
      </c>
      <c r="CQ46" t="s">
        <v>202</v>
      </c>
      <c r="CR46" t="s">
        <v>203</v>
      </c>
    </row>
    <row r="47" spans="1:96" x14ac:dyDescent="0.2">
      <c r="A47" s="68">
        <v>744</v>
      </c>
      <c r="B47">
        <v>744</v>
      </c>
      <c r="C47" t="s">
        <v>75</v>
      </c>
      <c r="D47" t="s">
        <v>76</v>
      </c>
      <c r="E47" t="s">
        <v>341</v>
      </c>
      <c r="F47" s="8">
        <v>5000</v>
      </c>
      <c r="G47" s="9">
        <f t="shared" si="1"/>
        <v>5000</v>
      </c>
      <c r="H47" s="10"/>
      <c r="I47" s="35" t="s">
        <v>75</v>
      </c>
      <c r="J47" s="35"/>
      <c r="K47" s="9">
        <v>25</v>
      </c>
      <c r="L47" s="9">
        <v>50</v>
      </c>
      <c r="M47" s="9">
        <v>25</v>
      </c>
      <c r="N47" s="9">
        <v>0</v>
      </c>
      <c r="O47" s="9">
        <v>1250</v>
      </c>
      <c r="P47" s="9">
        <v>2500</v>
      </c>
      <c r="Q47" s="9">
        <v>1250</v>
      </c>
      <c r="R47" s="9">
        <v>0</v>
      </c>
      <c r="S47" s="10" t="s">
        <v>293</v>
      </c>
      <c r="T47" s="8">
        <v>56</v>
      </c>
      <c r="U47" s="9">
        <v>56</v>
      </c>
      <c r="V47" s="9">
        <v>24</v>
      </c>
      <c r="W47" s="9">
        <v>24</v>
      </c>
      <c r="X47" s="9"/>
      <c r="Y47" s="10" t="s">
        <v>293</v>
      </c>
      <c r="Z47" s="35" t="s">
        <v>75</v>
      </c>
      <c r="AA47" s="8" t="s">
        <v>75</v>
      </c>
      <c r="AB47" s="9"/>
      <c r="AC47" s="114"/>
      <c r="AD47" s="8">
        <v>2</v>
      </c>
      <c r="AE47" s="9">
        <v>50</v>
      </c>
      <c r="AF47" s="9">
        <v>48</v>
      </c>
      <c r="AG47" s="9">
        <v>0</v>
      </c>
      <c r="AH47" s="9">
        <v>0</v>
      </c>
      <c r="AI47" s="9">
        <v>0</v>
      </c>
      <c r="AJ47" s="9">
        <v>25</v>
      </c>
      <c r="AK47" s="9">
        <v>625</v>
      </c>
      <c r="AL47" s="9">
        <v>600</v>
      </c>
      <c r="AM47" s="9">
        <v>0</v>
      </c>
      <c r="AN47" s="9">
        <v>0</v>
      </c>
      <c r="AO47" s="9">
        <v>0</v>
      </c>
      <c r="AP47" s="9" t="s">
        <v>293</v>
      </c>
      <c r="AT47" s="8" t="s">
        <v>147</v>
      </c>
      <c r="AU47" s="41" t="s">
        <v>397</v>
      </c>
      <c r="AV47" s="9" t="s">
        <v>147</v>
      </c>
      <c r="AW47" s="41" t="s">
        <v>397</v>
      </c>
      <c r="AX47" s="41" t="s">
        <v>397</v>
      </c>
      <c r="AY47" s="41" t="s">
        <v>397</v>
      </c>
      <c r="AZ47" s="41" t="s">
        <v>397</v>
      </c>
      <c r="BA47" s="41" t="s">
        <v>397</v>
      </c>
      <c r="BB47" s="9" t="s">
        <v>147</v>
      </c>
      <c r="BC47" s="9" t="s">
        <v>147</v>
      </c>
      <c r="BD47" s="9"/>
      <c r="BE47" s="35" t="s">
        <v>75</v>
      </c>
      <c r="BG47" s="8">
        <v>80</v>
      </c>
      <c r="BH47" s="9">
        <v>10</v>
      </c>
      <c r="BI47" s="9">
        <v>5</v>
      </c>
      <c r="BJ47" s="9">
        <v>5</v>
      </c>
      <c r="BK47" s="9">
        <v>0</v>
      </c>
      <c r="BL47" s="9">
        <v>1000</v>
      </c>
      <c r="BM47" s="9">
        <v>125</v>
      </c>
      <c r="BN47" s="9">
        <v>62.5</v>
      </c>
      <c r="BO47" s="9">
        <v>62.5</v>
      </c>
      <c r="BP47" s="9">
        <v>0</v>
      </c>
      <c r="BQ47" s="9" t="s">
        <v>293</v>
      </c>
      <c r="BT47" s="35">
        <v>0</v>
      </c>
      <c r="CB47" s="9" t="s">
        <v>204</v>
      </c>
      <c r="CD47" s="9" t="s">
        <v>293</v>
      </c>
      <c r="CF47" s="8" t="s">
        <v>74</v>
      </c>
      <c r="CP47" t="s">
        <v>205</v>
      </c>
    </row>
    <row r="48" spans="1:96" x14ac:dyDescent="0.2">
      <c r="A48" s="68">
        <v>753</v>
      </c>
      <c r="B48">
        <v>753</v>
      </c>
      <c r="C48" t="s">
        <v>141</v>
      </c>
      <c r="D48" t="s">
        <v>76</v>
      </c>
      <c r="E48" t="s">
        <v>341</v>
      </c>
      <c r="F48" s="8">
        <v>1417.9</v>
      </c>
      <c r="G48" s="9">
        <f t="shared" si="1"/>
        <v>1417.9</v>
      </c>
      <c r="H48" s="10"/>
      <c r="I48" s="170" t="s">
        <v>141</v>
      </c>
      <c r="J48" s="35"/>
      <c r="K48" s="9">
        <v>0</v>
      </c>
      <c r="L48" s="9">
        <v>99</v>
      </c>
      <c r="M48" s="9">
        <v>0</v>
      </c>
      <c r="N48" s="9">
        <v>1</v>
      </c>
      <c r="O48" s="9">
        <v>0</v>
      </c>
      <c r="P48" s="9">
        <v>1403.721</v>
      </c>
      <c r="Q48" s="9">
        <v>0</v>
      </c>
      <c r="R48" s="9">
        <v>14.179000000000002</v>
      </c>
      <c r="S48" s="10" t="s">
        <v>293</v>
      </c>
      <c r="T48" s="8">
        <f>22*4.8</f>
        <v>105.6</v>
      </c>
      <c r="U48" s="9">
        <f>11*4.8</f>
        <v>52.8</v>
      </c>
      <c r="V48" s="9">
        <f>2.5*4.8</f>
        <v>12</v>
      </c>
      <c r="W48" s="9">
        <v>0</v>
      </c>
      <c r="X48" s="9" t="s">
        <v>141</v>
      </c>
      <c r="Y48" s="10" t="s">
        <v>293</v>
      </c>
      <c r="Z48" s="35" t="s">
        <v>75</v>
      </c>
      <c r="AA48" s="8" t="s">
        <v>75</v>
      </c>
      <c r="AB48" s="9" t="s">
        <v>206</v>
      </c>
      <c r="AC48" s="114"/>
      <c r="AP48" s="9" t="s">
        <v>292</v>
      </c>
      <c r="AT48" s="8" t="s">
        <v>397</v>
      </c>
      <c r="AU48" s="9" t="s">
        <v>147</v>
      </c>
      <c r="AV48" s="9" t="s">
        <v>397</v>
      </c>
      <c r="AW48" s="41" t="s">
        <v>397</v>
      </c>
      <c r="AX48" s="9" t="s">
        <v>147</v>
      </c>
      <c r="AY48" s="41" t="s">
        <v>397</v>
      </c>
      <c r="AZ48" s="9" t="s">
        <v>151</v>
      </c>
      <c r="BA48" s="41" t="s">
        <v>397</v>
      </c>
      <c r="BB48" s="169" t="s">
        <v>147</v>
      </c>
      <c r="BC48" s="169" t="s">
        <v>397</v>
      </c>
      <c r="BD48" s="9"/>
      <c r="BE48" s="170" t="s">
        <v>141</v>
      </c>
      <c r="BQ48" s="9" t="s">
        <v>292</v>
      </c>
      <c r="BT48" s="35">
        <v>0</v>
      </c>
      <c r="CB48" s="9" t="s">
        <v>207</v>
      </c>
      <c r="CD48" s="9" t="s">
        <v>293</v>
      </c>
      <c r="CF48" s="8" t="s">
        <v>304</v>
      </c>
      <c r="CG48" s="10" t="s">
        <v>208</v>
      </c>
      <c r="CH48" s="8" t="s">
        <v>75</v>
      </c>
      <c r="CI48" s="149">
        <v>0.01</v>
      </c>
      <c r="CP48" t="s">
        <v>209</v>
      </c>
      <c r="CR48" t="s">
        <v>210</v>
      </c>
    </row>
    <row r="49" spans="1:96" x14ac:dyDescent="0.2">
      <c r="A49" s="68">
        <v>755</v>
      </c>
      <c r="B49">
        <v>755</v>
      </c>
      <c r="C49" t="s">
        <v>141</v>
      </c>
      <c r="D49" t="s">
        <v>76</v>
      </c>
      <c r="E49" t="s">
        <v>341</v>
      </c>
      <c r="F49" s="8">
        <v>964</v>
      </c>
      <c r="G49" s="9">
        <f t="shared" si="1"/>
        <v>964</v>
      </c>
      <c r="H49" s="10"/>
      <c r="I49" s="35" t="s">
        <v>146</v>
      </c>
      <c r="J49" s="35"/>
      <c r="K49" s="9">
        <v>0</v>
      </c>
      <c r="L49" s="9">
        <v>100</v>
      </c>
      <c r="M49" s="9">
        <v>0</v>
      </c>
      <c r="N49" s="9">
        <v>0</v>
      </c>
      <c r="O49" s="9">
        <v>0</v>
      </c>
      <c r="P49" s="9">
        <v>964</v>
      </c>
      <c r="Q49" s="9">
        <v>0</v>
      </c>
      <c r="R49" s="9">
        <v>0</v>
      </c>
      <c r="S49" s="10" t="s">
        <v>293</v>
      </c>
      <c r="T49" s="8">
        <f>24.6*4.8</f>
        <v>118.08</v>
      </c>
      <c r="U49" s="9"/>
      <c r="V49" s="9"/>
      <c r="W49" s="9"/>
      <c r="X49" s="9"/>
      <c r="Y49" s="10" t="s">
        <v>293</v>
      </c>
      <c r="Z49" s="35" t="s">
        <v>141</v>
      </c>
      <c r="AA49" s="8" t="s">
        <v>141</v>
      </c>
      <c r="AB49" s="9"/>
      <c r="AC49" s="114"/>
      <c r="AP49" s="9" t="s">
        <v>292</v>
      </c>
      <c r="AT49" s="8" t="s">
        <v>397</v>
      </c>
      <c r="AU49" s="41" t="s">
        <v>397</v>
      </c>
      <c r="AV49" s="9" t="s">
        <v>147</v>
      </c>
      <c r="AW49" s="41" t="s">
        <v>397</v>
      </c>
      <c r="AX49" s="9" t="s">
        <v>147</v>
      </c>
      <c r="AY49" s="41" t="s">
        <v>397</v>
      </c>
      <c r="AZ49" s="41" t="s">
        <v>397</v>
      </c>
      <c r="BA49" s="41" t="s">
        <v>397</v>
      </c>
      <c r="BB49" s="41" t="s">
        <v>397</v>
      </c>
      <c r="BC49" s="41" t="s">
        <v>397</v>
      </c>
      <c r="BD49" s="9"/>
      <c r="BE49" s="35" t="s">
        <v>146</v>
      </c>
      <c r="BQ49" s="9" t="s">
        <v>292</v>
      </c>
      <c r="CC49" s="9" t="s">
        <v>141</v>
      </c>
      <c r="CD49" s="9" t="s">
        <v>293</v>
      </c>
      <c r="CI49" s="149"/>
      <c r="CP49" t="s">
        <v>211</v>
      </c>
    </row>
    <row r="50" spans="1:96" x14ac:dyDescent="0.2">
      <c r="A50" s="68">
        <v>760</v>
      </c>
      <c r="B50">
        <v>760</v>
      </c>
      <c r="C50" t="s">
        <v>75</v>
      </c>
      <c r="D50" t="s">
        <v>76</v>
      </c>
      <c r="E50" t="s">
        <v>341</v>
      </c>
      <c r="F50" s="8">
        <v>1601</v>
      </c>
      <c r="G50" s="9">
        <f t="shared" si="1"/>
        <v>1601</v>
      </c>
      <c r="H50" s="10"/>
      <c r="I50" s="35" t="s">
        <v>152</v>
      </c>
      <c r="J50" s="35"/>
      <c r="K50" s="9">
        <v>0</v>
      </c>
      <c r="L50" s="9">
        <v>99</v>
      </c>
      <c r="M50" s="41">
        <v>0</v>
      </c>
      <c r="N50" s="9">
        <v>1</v>
      </c>
      <c r="O50" s="9">
        <v>0</v>
      </c>
      <c r="P50" s="9">
        <v>1584.99</v>
      </c>
      <c r="Q50" s="9">
        <v>0</v>
      </c>
      <c r="R50" s="9">
        <v>16.010000000000002</v>
      </c>
      <c r="S50" s="10" t="s">
        <v>293</v>
      </c>
      <c r="T50" s="8">
        <v>5</v>
      </c>
      <c r="U50" s="9">
        <v>5</v>
      </c>
      <c r="V50" s="9">
        <v>5</v>
      </c>
      <c r="W50" s="9">
        <v>5</v>
      </c>
      <c r="X50" s="9"/>
      <c r="Y50" s="10" t="s">
        <v>293</v>
      </c>
      <c r="Z50" s="35" t="s">
        <v>75</v>
      </c>
      <c r="AA50" s="8" t="s">
        <v>75</v>
      </c>
      <c r="AB50" s="9"/>
      <c r="AC50" s="114"/>
      <c r="AP50" s="9" t="s">
        <v>292</v>
      </c>
      <c r="AT50" s="8" t="s">
        <v>397</v>
      </c>
      <c r="AU50" s="41" t="s">
        <v>397</v>
      </c>
      <c r="AV50" s="41" t="s">
        <v>397</v>
      </c>
      <c r="AW50" s="41" t="s">
        <v>397</v>
      </c>
      <c r="AX50" s="9" t="s">
        <v>147</v>
      </c>
      <c r="AY50" s="41" t="s">
        <v>397</v>
      </c>
      <c r="AZ50" s="41" t="s">
        <v>397</v>
      </c>
      <c r="BA50" s="41" t="s">
        <v>397</v>
      </c>
      <c r="BB50" s="41" t="s">
        <v>397</v>
      </c>
      <c r="BC50" s="41" t="s">
        <v>397</v>
      </c>
      <c r="BD50" s="9"/>
      <c r="BE50" s="35" t="s">
        <v>152</v>
      </c>
      <c r="BQ50" s="9" t="s">
        <v>292</v>
      </c>
      <c r="CD50" s="9" t="s">
        <v>292</v>
      </c>
      <c r="CI50" s="149"/>
      <c r="CP50" t="s">
        <v>78</v>
      </c>
    </row>
    <row r="51" spans="1:96" x14ac:dyDescent="0.2">
      <c r="A51" s="68">
        <v>766</v>
      </c>
      <c r="B51">
        <v>766</v>
      </c>
      <c r="C51" t="s">
        <v>75</v>
      </c>
      <c r="D51" t="s">
        <v>76</v>
      </c>
      <c r="E51" t="s">
        <v>341</v>
      </c>
      <c r="F51" s="8">
        <v>953</v>
      </c>
      <c r="G51" s="9">
        <f t="shared" si="1"/>
        <v>0</v>
      </c>
      <c r="H51" s="10"/>
      <c r="I51" s="35" t="s">
        <v>152</v>
      </c>
      <c r="J51" s="35"/>
      <c r="K51" s="9"/>
      <c r="L51" s="9"/>
      <c r="M51" s="9"/>
      <c r="N51" s="9"/>
      <c r="O51" s="9"/>
      <c r="P51" s="9"/>
      <c r="Q51" s="9"/>
      <c r="R51" s="9"/>
      <c r="S51" s="10" t="s">
        <v>292</v>
      </c>
      <c r="T51" s="8"/>
      <c r="U51" s="9"/>
      <c r="V51" s="9"/>
      <c r="W51" s="9"/>
      <c r="X51" s="9"/>
      <c r="Y51" s="10" t="s">
        <v>292</v>
      </c>
      <c r="Z51" s="35" t="s">
        <v>74</v>
      </c>
      <c r="AA51" s="8"/>
      <c r="AB51" s="9"/>
      <c r="AC51" s="114"/>
      <c r="AP51" s="9" t="s">
        <v>292</v>
      </c>
      <c r="AT51" s="8" t="s">
        <v>147</v>
      </c>
      <c r="AU51" s="41" t="s">
        <v>397</v>
      </c>
      <c r="AV51" s="9" t="s">
        <v>147</v>
      </c>
      <c r="AW51" s="41" t="s">
        <v>397</v>
      </c>
      <c r="AX51" s="9" t="s">
        <v>147</v>
      </c>
      <c r="AY51" s="41" t="s">
        <v>397</v>
      </c>
      <c r="AZ51" s="41" t="s">
        <v>397</v>
      </c>
      <c r="BA51" s="41" t="s">
        <v>397</v>
      </c>
      <c r="BB51" s="41" t="s">
        <v>397</v>
      </c>
      <c r="BC51" s="41" t="s">
        <v>397</v>
      </c>
      <c r="BD51" s="9"/>
      <c r="BE51" s="35" t="s">
        <v>152</v>
      </c>
      <c r="BQ51" s="9" t="s">
        <v>292</v>
      </c>
      <c r="CD51" s="9" t="s">
        <v>292</v>
      </c>
      <c r="CI51" s="149"/>
    </row>
    <row r="52" spans="1:96" x14ac:dyDescent="0.2">
      <c r="A52" s="68">
        <v>774</v>
      </c>
      <c r="B52">
        <v>774</v>
      </c>
      <c r="C52" t="s">
        <v>75</v>
      </c>
      <c r="D52" t="s">
        <v>179</v>
      </c>
      <c r="E52" t="s">
        <v>338</v>
      </c>
      <c r="F52" s="8">
        <v>22000</v>
      </c>
      <c r="G52" s="9">
        <f t="shared" si="1"/>
        <v>22000</v>
      </c>
      <c r="H52" s="10"/>
      <c r="I52" s="35" t="s">
        <v>152</v>
      </c>
      <c r="J52" s="35"/>
      <c r="K52" s="9">
        <v>67.503176620076246</v>
      </c>
      <c r="L52" s="9">
        <v>32.496823379923761</v>
      </c>
      <c r="M52" s="41">
        <v>0</v>
      </c>
      <c r="N52" s="9">
        <v>0</v>
      </c>
      <c r="O52" s="9">
        <v>14850.698856416773</v>
      </c>
      <c r="P52" s="9">
        <v>7149.3011435832268</v>
      </c>
      <c r="Q52" s="9">
        <v>0</v>
      </c>
      <c r="R52" s="9">
        <v>0</v>
      </c>
      <c r="S52" s="10" t="s">
        <v>293</v>
      </c>
      <c r="T52" s="8">
        <v>20</v>
      </c>
      <c r="U52" s="9">
        <v>20</v>
      </c>
      <c r="V52" s="9">
        <v>10</v>
      </c>
      <c r="W52" s="9">
        <v>13.5</v>
      </c>
      <c r="X52" s="9"/>
      <c r="Y52" s="10" t="s">
        <v>293</v>
      </c>
      <c r="Z52" s="35" t="s">
        <v>141</v>
      </c>
      <c r="AA52" s="8" t="s">
        <v>141</v>
      </c>
      <c r="AB52" s="9"/>
      <c r="AC52" s="114"/>
      <c r="AD52" s="8">
        <v>10</v>
      </c>
      <c r="AE52" s="9">
        <v>75</v>
      </c>
      <c r="AF52" s="9">
        <v>0</v>
      </c>
      <c r="AG52" s="9">
        <v>0</v>
      </c>
      <c r="AH52" s="9">
        <v>10</v>
      </c>
      <c r="AI52" s="9">
        <v>5</v>
      </c>
      <c r="AJ52" s="9">
        <v>1485.0698856416773</v>
      </c>
      <c r="AK52" s="9">
        <v>11138.024142312581</v>
      </c>
      <c r="AL52" s="9">
        <v>0</v>
      </c>
      <c r="AM52" s="9">
        <v>0</v>
      </c>
      <c r="AN52" s="9">
        <v>1485.0698856416773</v>
      </c>
      <c r="AO52" s="9">
        <v>742.53494282083864</v>
      </c>
      <c r="AP52" s="9" t="s">
        <v>293</v>
      </c>
      <c r="AT52" s="8" t="s">
        <v>397</v>
      </c>
      <c r="AU52" s="41" t="s">
        <v>397</v>
      </c>
      <c r="AV52" s="9" t="s">
        <v>147</v>
      </c>
      <c r="AW52" s="41" t="s">
        <v>397</v>
      </c>
      <c r="AX52" s="9" t="s">
        <v>147</v>
      </c>
      <c r="AY52" s="41" t="s">
        <v>397</v>
      </c>
      <c r="AZ52" s="9" t="s">
        <v>151</v>
      </c>
      <c r="BA52" s="41" t="s">
        <v>397</v>
      </c>
      <c r="BB52" s="41" t="s">
        <v>397</v>
      </c>
      <c r="BC52" s="41" t="s">
        <v>397</v>
      </c>
      <c r="BD52" s="9"/>
      <c r="BE52" s="35" t="s">
        <v>152</v>
      </c>
      <c r="BQ52" s="9" t="s">
        <v>292</v>
      </c>
      <c r="BT52" s="35">
        <v>0</v>
      </c>
      <c r="CC52" s="9" t="s">
        <v>141</v>
      </c>
      <c r="CD52" s="9" t="s">
        <v>293</v>
      </c>
      <c r="CF52" s="8" t="s">
        <v>74</v>
      </c>
      <c r="CI52" s="149"/>
      <c r="CP52" t="s">
        <v>212</v>
      </c>
      <c r="CQ52" t="s">
        <v>213</v>
      </c>
      <c r="CR52" t="s">
        <v>214</v>
      </c>
    </row>
    <row r="53" spans="1:96" x14ac:dyDescent="0.2">
      <c r="A53" s="68">
        <v>1893</v>
      </c>
      <c r="B53">
        <v>1893</v>
      </c>
      <c r="C53" t="s">
        <v>141</v>
      </c>
      <c r="D53" t="s">
        <v>98</v>
      </c>
      <c r="E53" t="s">
        <v>339</v>
      </c>
      <c r="F53" s="8">
        <v>5220</v>
      </c>
      <c r="G53" s="9">
        <f t="shared" si="1"/>
        <v>5220</v>
      </c>
      <c r="H53" s="10"/>
      <c r="I53" s="35" t="s">
        <v>141</v>
      </c>
      <c r="J53" s="35"/>
      <c r="K53" s="9">
        <v>0</v>
      </c>
      <c r="L53" s="9">
        <v>0</v>
      </c>
      <c r="M53" s="9">
        <v>100</v>
      </c>
      <c r="N53" s="9">
        <v>0</v>
      </c>
      <c r="O53" s="9">
        <v>0</v>
      </c>
      <c r="P53" s="9">
        <v>0</v>
      </c>
      <c r="Q53" s="9">
        <v>5220</v>
      </c>
      <c r="R53" s="9">
        <v>0</v>
      </c>
      <c r="S53" s="10" t="s">
        <v>293</v>
      </c>
      <c r="T53" s="8">
        <v>23</v>
      </c>
      <c r="U53" s="9"/>
      <c r="V53" s="9">
        <v>10</v>
      </c>
      <c r="W53" s="9"/>
      <c r="X53" s="9" t="s">
        <v>297</v>
      </c>
      <c r="Y53" s="10" t="s">
        <v>293</v>
      </c>
      <c r="Z53" s="35" t="s">
        <v>75</v>
      </c>
      <c r="AA53" s="8" t="s">
        <v>75</v>
      </c>
      <c r="AB53" s="9"/>
      <c r="AC53" s="114"/>
      <c r="AP53" s="9" t="s">
        <v>292</v>
      </c>
      <c r="AT53" s="8" t="s">
        <v>397</v>
      </c>
      <c r="AU53" s="41" t="s">
        <v>397</v>
      </c>
      <c r="AV53" s="41" t="s">
        <v>397</v>
      </c>
      <c r="AW53" s="41" t="s">
        <v>397</v>
      </c>
      <c r="AX53" s="41" t="s">
        <v>397</v>
      </c>
      <c r="AY53" s="41" t="s">
        <v>397</v>
      </c>
      <c r="AZ53" s="41" t="s">
        <v>397</v>
      </c>
      <c r="BA53" s="41" t="s">
        <v>397</v>
      </c>
      <c r="BB53" s="41" t="s">
        <v>147</v>
      </c>
      <c r="BC53" s="41" t="s">
        <v>397</v>
      </c>
      <c r="BD53" s="9"/>
      <c r="BE53" s="35" t="s">
        <v>141</v>
      </c>
      <c r="BQ53" s="9" t="s">
        <v>292</v>
      </c>
      <c r="CD53" s="9" t="s">
        <v>292</v>
      </c>
      <c r="CI53" s="149"/>
      <c r="CP53" t="s">
        <v>215</v>
      </c>
      <c r="CQ53" t="s">
        <v>216</v>
      </c>
      <c r="CR53" t="s">
        <v>217</v>
      </c>
    </row>
    <row r="54" spans="1:96" x14ac:dyDescent="0.2">
      <c r="A54" s="68">
        <v>2184</v>
      </c>
      <c r="B54">
        <v>2184</v>
      </c>
      <c r="C54" t="s">
        <v>141</v>
      </c>
      <c r="D54" t="s">
        <v>218</v>
      </c>
      <c r="E54" t="s">
        <v>341</v>
      </c>
      <c r="F54" s="8">
        <v>5500</v>
      </c>
      <c r="G54" s="9">
        <f t="shared" si="1"/>
        <v>5500</v>
      </c>
      <c r="H54" s="10"/>
      <c r="I54" s="35" t="s">
        <v>141</v>
      </c>
      <c r="J54" s="35"/>
      <c r="K54" s="9">
        <v>10</v>
      </c>
      <c r="L54" s="9">
        <v>90</v>
      </c>
      <c r="M54" s="9">
        <v>0</v>
      </c>
      <c r="N54" s="9">
        <v>0</v>
      </c>
      <c r="O54" s="9">
        <v>550</v>
      </c>
      <c r="P54" s="9">
        <v>4950</v>
      </c>
      <c r="Q54" s="9">
        <v>0</v>
      </c>
      <c r="R54" s="9">
        <v>0</v>
      </c>
      <c r="S54" s="10" t="s">
        <v>293</v>
      </c>
      <c r="T54" s="8">
        <v>15</v>
      </c>
      <c r="U54" s="9"/>
      <c r="V54" s="9">
        <v>5</v>
      </c>
      <c r="W54" s="9">
        <v>5</v>
      </c>
      <c r="X54" s="9"/>
      <c r="Y54" s="10" t="s">
        <v>293</v>
      </c>
      <c r="Z54" s="35" t="s">
        <v>75</v>
      </c>
      <c r="AA54" s="8" t="s">
        <v>75</v>
      </c>
      <c r="AB54" s="9"/>
      <c r="AC54" s="114"/>
      <c r="AD54" s="8">
        <v>0</v>
      </c>
      <c r="AE54" s="9">
        <v>90</v>
      </c>
      <c r="AF54" s="9">
        <v>0</v>
      </c>
      <c r="AG54" s="9">
        <v>0</v>
      </c>
      <c r="AH54" s="9">
        <v>10</v>
      </c>
      <c r="AI54" s="9">
        <v>0</v>
      </c>
      <c r="AJ54" s="9">
        <v>0</v>
      </c>
      <c r="AK54" s="9">
        <v>495</v>
      </c>
      <c r="AL54" s="9">
        <v>0</v>
      </c>
      <c r="AM54" s="9">
        <v>0</v>
      </c>
      <c r="AN54" s="9">
        <v>55</v>
      </c>
      <c r="AO54" s="9">
        <v>0</v>
      </c>
      <c r="AP54" s="9" t="s">
        <v>293</v>
      </c>
      <c r="AT54" s="8" t="s">
        <v>397</v>
      </c>
      <c r="AU54" s="41" t="s">
        <v>397</v>
      </c>
      <c r="AV54" s="41" t="s">
        <v>397</v>
      </c>
      <c r="AW54" s="9" t="s">
        <v>147</v>
      </c>
      <c r="AX54" s="9" t="s">
        <v>147</v>
      </c>
      <c r="AY54" s="9" t="s">
        <v>147</v>
      </c>
      <c r="AZ54" s="9" t="s">
        <v>147</v>
      </c>
      <c r="BA54" s="9" t="s">
        <v>147</v>
      </c>
      <c r="BB54" s="9" t="s">
        <v>147</v>
      </c>
      <c r="BC54" s="9" t="s">
        <v>147</v>
      </c>
      <c r="BD54" s="9"/>
      <c r="BE54" s="35" t="s">
        <v>141</v>
      </c>
      <c r="BQ54" s="9" t="s">
        <v>292</v>
      </c>
      <c r="CD54" s="9" t="s">
        <v>292</v>
      </c>
      <c r="CI54" s="149"/>
      <c r="CP54" t="s">
        <v>219</v>
      </c>
    </row>
    <row r="55" spans="1:96" x14ac:dyDescent="0.2">
      <c r="A55" s="68">
        <v>2191</v>
      </c>
      <c r="B55">
        <v>2191</v>
      </c>
      <c r="C55" t="s">
        <v>75</v>
      </c>
      <c r="D55" t="s">
        <v>121</v>
      </c>
      <c r="E55" t="s">
        <v>338</v>
      </c>
      <c r="F55" s="8">
        <v>80000</v>
      </c>
      <c r="G55" s="9">
        <f t="shared" si="1"/>
        <v>80000</v>
      </c>
      <c r="H55" s="10"/>
      <c r="I55" s="35" t="s">
        <v>75</v>
      </c>
      <c r="J55" s="35"/>
      <c r="K55" s="9">
        <v>60</v>
      </c>
      <c r="L55" s="9">
        <v>36</v>
      </c>
      <c r="M55" s="9">
        <v>2</v>
      </c>
      <c r="N55" s="9">
        <v>2</v>
      </c>
      <c r="O55" s="9">
        <v>48000</v>
      </c>
      <c r="P55" s="9">
        <v>28800</v>
      </c>
      <c r="Q55" s="9">
        <v>1600</v>
      </c>
      <c r="R55" s="9">
        <v>1600</v>
      </c>
      <c r="S55" s="10" t="s">
        <v>293</v>
      </c>
      <c r="T55" s="8">
        <v>24.5</v>
      </c>
      <c r="U55" s="9">
        <v>24.5</v>
      </c>
      <c r="V55" s="9">
        <v>24.5</v>
      </c>
      <c r="W55" s="9">
        <v>24.5</v>
      </c>
      <c r="X55" s="9"/>
      <c r="Y55" s="10" t="s">
        <v>293</v>
      </c>
      <c r="Z55" s="35" t="s">
        <v>75</v>
      </c>
      <c r="AA55" s="8" t="s">
        <v>75</v>
      </c>
      <c r="AB55" s="9"/>
      <c r="AC55" s="114"/>
      <c r="AD55" s="8">
        <v>5</v>
      </c>
      <c r="AE55" s="9">
        <v>5</v>
      </c>
      <c r="AF55" s="9">
        <v>85</v>
      </c>
      <c r="AG55" s="9">
        <v>0</v>
      </c>
      <c r="AH55" s="9">
        <v>5</v>
      </c>
      <c r="AI55" s="9">
        <v>0</v>
      </c>
      <c r="AJ55" s="9">
        <v>2400</v>
      </c>
      <c r="AK55" s="9">
        <v>2400</v>
      </c>
      <c r="AL55" s="9">
        <v>40800</v>
      </c>
      <c r="AM55" s="9">
        <v>0</v>
      </c>
      <c r="AN55" s="9">
        <v>2400</v>
      </c>
      <c r="AO55" s="9">
        <v>0</v>
      </c>
      <c r="AP55" s="9" t="s">
        <v>293</v>
      </c>
      <c r="AT55" s="8" t="s">
        <v>397</v>
      </c>
      <c r="AU55" s="41" t="s">
        <v>397</v>
      </c>
      <c r="AV55" s="9" t="s">
        <v>147</v>
      </c>
      <c r="AW55" s="9" t="s">
        <v>147</v>
      </c>
      <c r="AX55" s="9" t="s">
        <v>147</v>
      </c>
      <c r="AY55" s="9" t="s">
        <v>147</v>
      </c>
      <c r="AZ55" s="41" t="s">
        <v>397</v>
      </c>
      <c r="BA55" s="41" t="s">
        <v>397</v>
      </c>
      <c r="BB55" s="9" t="s">
        <v>147</v>
      </c>
      <c r="BC55" s="9" t="s">
        <v>147</v>
      </c>
      <c r="BD55" s="9"/>
      <c r="BE55" s="35" t="s">
        <v>75</v>
      </c>
      <c r="BG55" s="8">
        <v>60</v>
      </c>
      <c r="BH55" s="9">
        <v>0</v>
      </c>
      <c r="BI55" s="9">
        <v>0</v>
      </c>
      <c r="BJ55" s="9">
        <v>40</v>
      </c>
      <c r="BK55" s="9">
        <v>0</v>
      </c>
      <c r="BL55" s="9">
        <v>960</v>
      </c>
      <c r="BM55" s="9">
        <v>0</v>
      </c>
      <c r="BN55" s="9">
        <v>0</v>
      </c>
      <c r="BO55" s="9">
        <v>640</v>
      </c>
      <c r="BP55" s="9">
        <v>0</v>
      </c>
      <c r="BQ55" s="9" t="s">
        <v>293</v>
      </c>
      <c r="BT55" s="35">
        <v>100</v>
      </c>
      <c r="CD55" s="9" t="s">
        <v>292</v>
      </c>
      <c r="CI55" s="149"/>
    </row>
    <row r="56" spans="1:96" x14ac:dyDescent="0.2">
      <c r="A56" s="68">
        <v>2192</v>
      </c>
      <c r="B56">
        <v>2192</v>
      </c>
      <c r="C56" t="s">
        <v>141</v>
      </c>
      <c r="D56" t="s">
        <v>121</v>
      </c>
      <c r="E56" t="s">
        <v>338</v>
      </c>
      <c r="F56" s="8">
        <v>75000</v>
      </c>
      <c r="G56" s="9">
        <f t="shared" si="1"/>
        <v>75000</v>
      </c>
      <c r="H56" s="10"/>
      <c r="I56" s="35" t="s">
        <v>141</v>
      </c>
      <c r="J56" s="35"/>
      <c r="K56" s="9">
        <v>0</v>
      </c>
      <c r="L56" s="9">
        <v>80</v>
      </c>
      <c r="M56" s="9">
        <v>10</v>
      </c>
      <c r="N56" s="9">
        <v>10</v>
      </c>
      <c r="O56" s="9">
        <v>0</v>
      </c>
      <c r="P56" s="9">
        <v>60000</v>
      </c>
      <c r="Q56" s="9">
        <v>7500</v>
      </c>
      <c r="R56" s="9">
        <v>7500</v>
      </c>
      <c r="S56" s="10" t="s">
        <v>293</v>
      </c>
      <c r="T56" s="8">
        <v>24.5</v>
      </c>
      <c r="U56" s="9">
        <v>24.5</v>
      </c>
      <c r="V56" s="9">
        <v>24.5</v>
      </c>
      <c r="W56" s="9"/>
      <c r="X56" s="9"/>
      <c r="Y56" s="10" t="s">
        <v>293</v>
      </c>
      <c r="Z56" s="35" t="s">
        <v>141</v>
      </c>
      <c r="AA56" s="8" t="s">
        <v>141</v>
      </c>
      <c r="AB56" s="9"/>
      <c r="AC56" s="114"/>
      <c r="AP56" s="9" t="s">
        <v>292</v>
      </c>
      <c r="AT56" s="8" t="s">
        <v>151</v>
      </c>
      <c r="AU56" s="9" t="s">
        <v>147</v>
      </c>
      <c r="AV56" s="9" t="s">
        <v>147</v>
      </c>
      <c r="AW56" s="9" t="s">
        <v>147</v>
      </c>
      <c r="AX56" s="9" t="s">
        <v>147</v>
      </c>
      <c r="AY56" s="9" t="s">
        <v>147</v>
      </c>
      <c r="AZ56" s="9" t="s">
        <v>151</v>
      </c>
      <c r="BA56" s="41" t="s">
        <v>397</v>
      </c>
      <c r="BB56" s="9" t="s">
        <v>147</v>
      </c>
      <c r="BC56" s="9" t="s">
        <v>147</v>
      </c>
      <c r="BD56" s="9"/>
      <c r="BE56" s="35" t="s">
        <v>141</v>
      </c>
      <c r="BG56" s="8">
        <v>50</v>
      </c>
      <c r="BH56" s="9">
        <v>0</v>
      </c>
      <c r="BI56" s="9">
        <v>10</v>
      </c>
      <c r="BJ56" s="9">
        <v>40</v>
      </c>
      <c r="BK56" s="9">
        <v>0</v>
      </c>
      <c r="BL56" s="9">
        <v>3750</v>
      </c>
      <c r="BM56" s="9">
        <v>0</v>
      </c>
      <c r="BN56" s="9">
        <v>750</v>
      </c>
      <c r="BO56" s="9">
        <v>3000</v>
      </c>
      <c r="BP56" s="9">
        <v>0</v>
      </c>
      <c r="BQ56" s="9" t="s">
        <v>293</v>
      </c>
      <c r="BT56" s="35">
        <v>510</v>
      </c>
      <c r="CB56" s="9" t="s">
        <v>220</v>
      </c>
      <c r="CD56" s="9" t="s">
        <v>293</v>
      </c>
      <c r="CF56" s="8" t="s">
        <v>152</v>
      </c>
      <c r="CI56" s="149"/>
      <c r="CP56" t="s">
        <v>221</v>
      </c>
      <c r="CQ56" t="s">
        <v>222</v>
      </c>
      <c r="CR56" t="s">
        <v>223</v>
      </c>
    </row>
    <row r="57" spans="1:96" x14ac:dyDescent="0.2">
      <c r="A57" s="68">
        <v>2238</v>
      </c>
      <c r="B57">
        <v>2238</v>
      </c>
      <c r="C57" t="s">
        <v>75</v>
      </c>
      <c r="D57" t="s">
        <v>121</v>
      </c>
      <c r="E57" t="s">
        <v>338</v>
      </c>
      <c r="F57" s="8">
        <v>382878</v>
      </c>
      <c r="G57" s="9">
        <f t="shared" si="1"/>
        <v>382877.99999999994</v>
      </c>
      <c r="H57" s="10"/>
      <c r="I57" s="35" t="s">
        <v>75</v>
      </c>
      <c r="J57" s="35"/>
      <c r="K57" s="41">
        <v>0</v>
      </c>
      <c r="L57" s="9">
        <v>69.951823956490202</v>
      </c>
      <c r="M57" s="9">
        <f>15.0240880217549*2</f>
        <v>30.048176043509802</v>
      </c>
      <c r="N57" s="9">
        <v>0</v>
      </c>
      <c r="O57" s="9"/>
      <c r="P57" s="9">
        <v>267830.14452813054</v>
      </c>
      <c r="Q57" s="9">
        <f>57523.9277359347*2</f>
        <v>115047.85547186941</v>
      </c>
      <c r="R57" s="9">
        <v>0</v>
      </c>
      <c r="S57" s="10" t="s">
        <v>293</v>
      </c>
      <c r="T57" s="8">
        <v>29</v>
      </c>
      <c r="U57" s="9"/>
      <c r="V57" s="9">
        <v>18</v>
      </c>
      <c r="W57" s="9"/>
      <c r="X57" s="9"/>
      <c r="Y57" s="10" t="s">
        <v>293</v>
      </c>
      <c r="Z57" s="35" t="s">
        <v>74</v>
      </c>
      <c r="AA57" s="8" t="s">
        <v>74</v>
      </c>
      <c r="AB57" s="9" t="s">
        <v>224</v>
      </c>
      <c r="AC57" s="114"/>
      <c r="AP57" s="9" t="s">
        <v>292</v>
      </c>
      <c r="AT57" s="8" t="s">
        <v>147</v>
      </c>
      <c r="AU57" s="8" t="s">
        <v>147</v>
      </c>
      <c r="AV57" s="8" t="s">
        <v>147</v>
      </c>
      <c r="AW57" s="41" t="s">
        <v>397</v>
      </c>
      <c r="AX57" s="9" t="s">
        <v>147</v>
      </c>
      <c r="AY57" s="41" t="s">
        <v>397</v>
      </c>
      <c r="AZ57" s="41" t="s">
        <v>397</v>
      </c>
      <c r="BA57" s="9" t="s">
        <v>147</v>
      </c>
      <c r="BB57" s="9" t="s">
        <v>147</v>
      </c>
      <c r="BC57" s="9" t="s">
        <v>147</v>
      </c>
      <c r="BD57" s="9"/>
      <c r="BE57" s="35" t="s">
        <v>75</v>
      </c>
      <c r="BG57" s="8">
        <v>100</v>
      </c>
      <c r="BH57" s="9">
        <v>0</v>
      </c>
      <c r="BI57" s="9">
        <v>0</v>
      </c>
      <c r="BJ57" s="9">
        <v>0</v>
      </c>
      <c r="BK57" s="9">
        <v>0</v>
      </c>
      <c r="BL57" s="9">
        <v>57523.927735934732</v>
      </c>
      <c r="BM57" s="9">
        <v>0</v>
      </c>
      <c r="BN57" s="9">
        <v>0</v>
      </c>
      <c r="BO57" s="9">
        <v>0</v>
      </c>
      <c r="BP57" s="9">
        <v>0</v>
      </c>
      <c r="BQ57" s="9" t="s">
        <v>293</v>
      </c>
      <c r="BU57" s="8">
        <v>45</v>
      </c>
      <c r="BW57" s="9">
        <v>20</v>
      </c>
      <c r="CB57" s="9" t="s">
        <v>225</v>
      </c>
      <c r="CD57" s="9" t="s">
        <v>293</v>
      </c>
      <c r="CF57" s="8" t="s">
        <v>74</v>
      </c>
      <c r="CI57" s="149"/>
      <c r="CP57" t="s">
        <v>226</v>
      </c>
    </row>
    <row r="58" spans="1:96" x14ac:dyDescent="0.2">
      <c r="A58" s="68">
        <v>2259</v>
      </c>
      <c r="B58">
        <v>2259</v>
      </c>
      <c r="C58" t="s">
        <v>75</v>
      </c>
      <c r="D58" t="s">
        <v>121</v>
      </c>
      <c r="E58" t="s">
        <v>338</v>
      </c>
      <c r="F58" s="8">
        <v>44315.1</v>
      </c>
      <c r="G58" s="9">
        <f t="shared" si="1"/>
        <v>44315.1</v>
      </c>
      <c r="H58" s="10"/>
      <c r="I58" s="170" t="s">
        <v>75</v>
      </c>
      <c r="J58" s="35"/>
      <c r="K58" s="9">
        <f>(O58/$F58)*100</f>
        <v>3.4523898174662815</v>
      </c>
      <c r="L58" s="9">
        <f t="shared" ref="L58:N58" si="5">(P58/$F58)*100</f>
        <v>52.270512759759093</v>
      </c>
      <c r="M58" s="9">
        <f t="shared" si="5"/>
        <v>15.431015613188281</v>
      </c>
      <c r="N58" s="9">
        <f t="shared" si="5"/>
        <v>28.846081809586348</v>
      </c>
      <c r="O58" s="9">
        <v>1529.93</v>
      </c>
      <c r="P58" s="9">
        <v>23163.73</v>
      </c>
      <c r="Q58" s="9">
        <v>6838.27</v>
      </c>
      <c r="R58" s="9">
        <v>12783.17</v>
      </c>
      <c r="S58" s="10" t="s">
        <v>293</v>
      </c>
      <c r="T58" s="8">
        <v>30</v>
      </c>
      <c r="U58" s="9">
        <v>30</v>
      </c>
      <c r="V58" s="9">
        <v>30</v>
      </c>
      <c r="W58" s="9">
        <v>30</v>
      </c>
      <c r="X58" s="9"/>
      <c r="Y58" s="10" t="s">
        <v>293</v>
      </c>
      <c r="Z58" s="35" t="s">
        <v>75</v>
      </c>
      <c r="AA58" s="8" t="s">
        <v>75</v>
      </c>
      <c r="AB58" s="9"/>
      <c r="AC58" s="114"/>
      <c r="AD58" s="8">
        <v>93.343054470909806</v>
      </c>
      <c r="AE58" s="9">
        <v>0</v>
      </c>
      <c r="AF58" s="9">
        <v>0</v>
      </c>
      <c r="AG58" s="9">
        <v>0</v>
      </c>
      <c r="AH58" s="9">
        <v>6.6569455290901995</v>
      </c>
      <c r="AI58" s="9">
        <v>0</v>
      </c>
      <c r="AJ58" s="9">
        <v>1428.0833932667904</v>
      </c>
      <c r="AK58" s="9">
        <v>0</v>
      </c>
      <c r="AL58" s="9">
        <v>0</v>
      </c>
      <c r="AM58" s="9">
        <v>0</v>
      </c>
      <c r="AN58" s="9">
        <v>101.8466067332097</v>
      </c>
      <c r="AO58" s="9">
        <v>0</v>
      </c>
      <c r="AP58" s="9" t="s">
        <v>293</v>
      </c>
      <c r="AQ58" s="10" t="s">
        <v>141</v>
      </c>
      <c r="AT58" s="8" t="s">
        <v>147</v>
      </c>
      <c r="AU58" s="8" t="s">
        <v>147</v>
      </c>
      <c r="AV58" s="8" t="s">
        <v>147</v>
      </c>
      <c r="AW58" s="41" t="s">
        <v>397</v>
      </c>
      <c r="AX58" s="41" t="s">
        <v>397</v>
      </c>
      <c r="AY58" s="41" t="s">
        <v>397</v>
      </c>
      <c r="AZ58" s="41" t="s">
        <v>397</v>
      </c>
      <c r="BA58" s="41" t="s">
        <v>397</v>
      </c>
      <c r="BB58" s="169" t="s">
        <v>147</v>
      </c>
      <c r="BC58" s="169" t="s">
        <v>147</v>
      </c>
      <c r="BD58" s="9"/>
      <c r="BE58" s="170" t="s">
        <v>75</v>
      </c>
      <c r="BG58" s="8">
        <v>98.40442100121814</v>
      </c>
      <c r="BH58" s="9">
        <v>0</v>
      </c>
      <c r="BI58" s="9">
        <v>0</v>
      </c>
      <c r="BJ58" s="9">
        <v>1.5955789987818554</v>
      </c>
      <c r="BK58" s="9">
        <v>0</v>
      </c>
      <c r="BL58" s="9">
        <v>6729.16</v>
      </c>
      <c r="BM58" s="9">
        <v>0</v>
      </c>
      <c r="BN58" s="9">
        <v>0</v>
      </c>
      <c r="BO58" s="9">
        <v>109.10999999999999</v>
      </c>
      <c r="BP58" s="9">
        <v>0</v>
      </c>
      <c r="BQ58" s="9" t="s">
        <v>293</v>
      </c>
      <c r="BT58" s="35">
        <v>0</v>
      </c>
      <c r="BW58" s="9">
        <v>14.13</v>
      </c>
      <c r="BX58" s="9">
        <v>2466.37</v>
      </c>
      <c r="CD58" s="9" t="s">
        <v>293</v>
      </c>
      <c r="CF58" s="8" t="s">
        <v>304</v>
      </c>
      <c r="CG58" s="10" t="s">
        <v>122</v>
      </c>
      <c r="CH58" s="8" t="s">
        <v>75</v>
      </c>
      <c r="CI58" s="149">
        <v>0.01</v>
      </c>
      <c r="CQ58" t="s">
        <v>123</v>
      </c>
      <c r="CR58" t="s">
        <v>124</v>
      </c>
    </row>
    <row r="59" spans="1:96" x14ac:dyDescent="0.2">
      <c r="A59" s="68">
        <v>2261</v>
      </c>
      <c r="B59">
        <v>2261</v>
      </c>
      <c r="C59" t="s">
        <v>141</v>
      </c>
      <c r="D59" t="s">
        <v>121</v>
      </c>
      <c r="E59" t="s">
        <v>338</v>
      </c>
      <c r="F59" s="8">
        <v>23906</v>
      </c>
      <c r="G59" s="9">
        <f t="shared" si="1"/>
        <v>23906</v>
      </c>
      <c r="H59" s="10"/>
      <c r="I59" s="35" t="s">
        <v>141</v>
      </c>
      <c r="J59" s="35"/>
      <c r="K59" s="9">
        <v>100</v>
      </c>
      <c r="L59" s="9">
        <v>0</v>
      </c>
      <c r="M59" s="9">
        <v>0</v>
      </c>
      <c r="N59" s="9">
        <v>0</v>
      </c>
      <c r="O59" s="9">
        <v>23906</v>
      </c>
      <c r="P59" s="9">
        <v>0</v>
      </c>
      <c r="Q59" s="9">
        <v>0</v>
      </c>
      <c r="R59" s="9">
        <v>0</v>
      </c>
      <c r="S59" s="10" t="s">
        <v>293</v>
      </c>
      <c r="T59" s="8">
        <v>43</v>
      </c>
      <c r="U59" s="9">
        <v>43</v>
      </c>
      <c r="V59" s="9">
        <v>43</v>
      </c>
      <c r="W59" s="9">
        <v>43</v>
      </c>
      <c r="X59" s="9"/>
      <c r="Y59" s="10" t="s">
        <v>293</v>
      </c>
      <c r="Z59" s="35" t="s">
        <v>141</v>
      </c>
      <c r="AA59" s="8" t="s">
        <v>141</v>
      </c>
      <c r="AB59" s="9"/>
      <c r="AC59" s="114"/>
      <c r="AD59" s="8">
        <v>80.582867027943024</v>
      </c>
      <c r="AE59" s="9">
        <v>19.417132972056979</v>
      </c>
      <c r="AF59" s="9">
        <v>0</v>
      </c>
      <c r="AG59" s="9">
        <v>0</v>
      </c>
      <c r="AH59" s="9">
        <v>0</v>
      </c>
      <c r="AI59" s="9">
        <v>0</v>
      </c>
      <c r="AJ59" s="9">
        <v>19264.140191700062</v>
      </c>
      <c r="AK59" s="9">
        <v>4641.8598082999415</v>
      </c>
      <c r="AL59" s="9">
        <v>0</v>
      </c>
      <c r="AM59" s="9">
        <v>0</v>
      </c>
      <c r="AN59" s="9">
        <v>0</v>
      </c>
      <c r="AO59" s="9">
        <v>0</v>
      </c>
      <c r="AP59" s="9" t="s">
        <v>293</v>
      </c>
      <c r="AQ59" s="10" t="s">
        <v>141</v>
      </c>
      <c r="AT59" s="8" t="s">
        <v>147</v>
      </c>
      <c r="AU59" s="8" t="s">
        <v>147</v>
      </c>
      <c r="AV59" s="8" t="s">
        <v>147</v>
      </c>
      <c r="AW59" s="41" t="s">
        <v>397</v>
      </c>
      <c r="AX59" s="9" t="s">
        <v>147</v>
      </c>
      <c r="AY59" s="41" t="s">
        <v>397</v>
      </c>
      <c r="AZ59" s="41" t="s">
        <v>397</v>
      </c>
      <c r="BA59" s="41" t="s">
        <v>397</v>
      </c>
      <c r="BB59" s="9" t="s">
        <v>147</v>
      </c>
      <c r="BC59" s="41" t="s">
        <v>147</v>
      </c>
      <c r="BD59" s="9"/>
      <c r="BE59" s="35" t="s">
        <v>141</v>
      </c>
      <c r="BG59" s="8">
        <v>0</v>
      </c>
      <c r="BH59" s="9">
        <v>0</v>
      </c>
      <c r="BI59" s="9">
        <v>5</v>
      </c>
      <c r="BJ59" s="9">
        <v>0</v>
      </c>
      <c r="BK59" s="9">
        <v>0</v>
      </c>
      <c r="BQ59" s="9" t="s">
        <v>292</v>
      </c>
      <c r="BT59" s="35">
        <v>0</v>
      </c>
      <c r="CD59" s="9" t="s">
        <v>292</v>
      </c>
      <c r="CI59" s="149"/>
    </row>
    <row r="60" spans="1:96" x14ac:dyDescent="0.2">
      <c r="A60" s="68">
        <v>2328</v>
      </c>
      <c r="B60">
        <v>2328</v>
      </c>
      <c r="C60" t="s">
        <v>141</v>
      </c>
      <c r="D60" t="s">
        <v>120</v>
      </c>
      <c r="E60" t="s">
        <v>338</v>
      </c>
      <c r="F60" s="8">
        <v>6931.9</v>
      </c>
      <c r="G60" s="9">
        <f t="shared" si="1"/>
        <v>6931.9000000000005</v>
      </c>
      <c r="H60" s="10"/>
      <c r="I60" s="35" t="s">
        <v>141</v>
      </c>
      <c r="J60" s="35"/>
      <c r="K60" s="9">
        <v>5.436988923041234</v>
      </c>
      <c r="L60" s="9">
        <v>94.563011076958773</v>
      </c>
      <c r="M60" s="9">
        <v>0</v>
      </c>
      <c r="N60" s="9">
        <v>0</v>
      </c>
      <c r="O60" s="9">
        <v>376.88663515629531</v>
      </c>
      <c r="P60" s="9">
        <v>6555.0133648437049</v>
      </c>
      <c r="Q60" s="9">
        <v>0</v>
      </c>
      <c r="R60" s="9">
        <v>0</v>
      </c>
      <c r="S60" s="10" t="s">
        <v>293</v>
      </c>
      <c r="T60" s="8">
        <v>20</v>
      </c>
      <c r="U60" s="9">
        <v>20</v>
      </c>
      <c r="V60" s="9">
        <v>20</v>
      </c>
      <c r="W60" s="9">
        <v>20</v>
      </c>
      <c r="X60" s="9"/>
      <c r="Y60" s="10" t="s">
        <v>293</v>
      </c>
      <c r="Z60" s="35" t="s">
        <v>141</v>
      </c>
      <c r="AA60" s="8" t="s">
        <v>141</v>
      </c>
      <c r="AB60" s="9"/>
      <c r="AC60" s="114"/>
      <c r="AD60" s="8">
        <v>76.430277882560048</v>
      </c>
      <c r="AE60" s="9">
        <v>23.569722117439959</v>
      </c>
      <c r="AF60" s="9">
        <v>0</v>
      </c>
      <c r="AG60" s="9">
        <v>0</v>
      </c>
      <c r="AH60" s="9">
        <v>0</v>
      </c>
      <c r="AI60" s="9">
        <v>0</v>
      </c>
      <c r="AJ60" s="9">
        <v>288.05550255218679</v>
      </c>
      <c r="AK60" s="9">
        <v>88.831132604108575</v>
      </c>
      <c r="AL60" s="9">
        <v>0</v>
      </c>
      <c r="AM60" s="9">
        <v>0</v>
      </c>
      <c r="AN60" s="9">
        <v>0</v>
      </c>
      <c r="AO60" s="9">
        <v>0</v>
      </c>
      <c r="AP60" s="9" t="s">
        <v>293</v>
      </c>
      <c r="AQ60" s="10" t="s">
        <v>141</v>
      </c>
      <c r="AT60" s="8" t="s">
        <v>147</v>
      </c>
      <c r="AU60" s="9" t="s">
        <v>147</v>
      </c>
      <c r="AV60" s="9" t="s">
        <v>147</v>
      </c>
      <c r="AW60" s="9" t="s">
        <v>147</v>
      </c>
      <c r="AX60" s="9" t="s">
        <v>147</v>
      </c>
      <c r="AY60" s="9" t="s">
        <v>147</v>
      </c>
      <c r="AZ60" s="9" t="s">
        <v>147</v>
      </c>
      <c r="BA60" s="9" t="s">
        <v>147</v>
      </c>
      <c r="BB60" s="9" t="s">
        <v>147</v>
      </c>
      <c r="BC60" s="9" t="s">
        <v>147</v>
      </c>
      <c r="BD60" s="9"/>
      <c r="BE60" s="35" t="s">
        <v>141</v>
      </c>
      <c r="BQ60" s="9" t="s">
        <v>292</v>
      </c>
      <c r="CD60" s="9" t="s">
        <v>227</v>
      </c>
      <c r="CH60" s="8" t="s">
        <v>75</v>
      </c>
      <c r="CI60" s="149">
        <v>0</v>
      </c>
    </row>
    <row r="61" spans="1:96" x14ac:dyDescent="0.2">
      <c r="A61" s="68">
        <v>2336</v>
      </c>
      <c r="B61">
        <v>2336</v>
      </c>
      <c r="C61" t="s">
        <v>75</v>
      </c>
      <c r="D61" t="s">
        <v>121</v>
      </c>
      <c r="E61" t="s">
        <v>338</v>
      </c>
      <c r="F61" s="8">
        <v>1422</v>
      </c>
      <c r="G61" s="9">
        <f t="shared" si="1"/>
        <v>0</v>
      </c>
      <c r="H61" s="10"/>
      <c r="I61" s="35" t="s">
        <v>152</v>
      </c>
      <c r="J61" s="35"/>
      <c r="K61" s="9"/>
      <c r="L61" s="9"/>
      <c r="M61" s="9"/>
      <c r="N61" s="9"/>
      <c r="O61" s="9"/>
      <c r="P61" s="9"/>
      <c r="Q61" s="9"/>
      <c r="R61" s="9"/>
      <c r="S61" s="10" t="s">
        <v>292</v>
      </c>
      <c r="T61" s="8">
        <v>40</v>
      </c>
      <c r="U61" s="9"/>
      <c r="V61" s="9"/>
      <c r="W61" s="9">
        <v>0</v>
      </c>
      <c r="X61" s="9"/>
      <c r="Y61" s="10" t="s">
        <v>293</v>
      </c>
      <c r="Z61" s="35" t="s">
        <v>75</v>
      </c>
      <c r="AA61" s="8" t="s">
        <v>75</v>
      </c>
      <c r="AB61" s="8" t="s">
        <v>228</v>
      </c>
      <c r="AC61" s="115"/>
      <c r="AP61" s="9" t="s">
        <v>292</v>
      </c>
      <c r="AT61" s="8" t="s">
        <v>147</v>
      </c>
      <c r="AU61" s="9" t="s">
        <v>147</v>
      </c>
      <c r="AV61" s="9" t="s">
        <v>147</v>
      </c>
      <c r="AW61" s="41" t="s">
        <v>397</v>
      </c>
      <c r="AX61" s="9" t="s">
        <v>147</v>
      </c>
      <c r="AY61" s="9" t="s">
        <v>147</v>
      </c>
      <c r="AZ61" s="41" t="s">
        <v>397</v>
      </c>
      <c r="BA61" s="41" t="s">
        <v>397</v>
      </c>
      <c r="BB61" s="41" t="s">
        <v>397</v>
      </c>
      <c r="BC61" s="9" t="s">
        <v>147</v>
      </c>
      <c r="BD61" s="9"/>
      <c r="BE61" s="35" t="s">
        <v>152</v>
      </c>
      <c r="BQ61" s="9" t="s">
        <v>292</v>
      </c>
      <c r="CD61" s="9" t="s">
        <v>292</v>
      </c>
      <c r="CI61" s="149"/>
      <c r="CP61" t="s">
        <v>229</v>
      </c>
    </row>
    <row r="62" spans="1:96" x14ac:dyDescent="0.2">
      <c r="A62" s="68">
        <v>2353</v>
      </c>
      <c r="B62">
        <v>2353</v>
      </c>
      <c r="C62" t="s">
        <v>75</v>
      </c>
      <c r="D62" t="s">
        <v>135</v>
      </c>
      <c r="E62" t="s">
        <v>339</v>
      </c>
      <c r="F62" s="8">
        <v>108000</v>
      </c>
      <c r="G62" s="9">
        <f t="shared" si="1"/>
        <v>108000</v>
      </c>
      <c r="H62" s="10"/>
      <c r="I62" s="35" t="s">
        <v>152</v>
      </c>
      <c r="J62" s="35"/>
      <c r="K62" s="9">
        <v>20</v>
      </c>
      <c r="L62" s="9">
        <v>80</v>
      </c>
      <c r="M62" s="9">
        <v>0</v>
      </c>
      <c r="N62" s="9">
        <v>0</v>
      </c>
      <c r="O62" s="9">
        <v>21600</v>
      </c>
      <c r="P62" s="9">
        <v>86400</v>
      </c>
      <c r="Q62" s="9">
        <v>0</v>
      </c>
      <c r="R62" s="9">
        <v>0</v>
      </c>
      <c r="S62" s="10" t="s">
        <v>293</v>
      </c>
      <c r="T62" s="8">
        <v>9.5</v>
      </c>
      <c r="U62" s="9">
        <v>9.5</v>
      </c>
      <c r="V62" s="9">
        <v>9.5</v>
      </c>
      <c r="W62" s="9">
        <v>9.5</v>
      </c>
      <c r="X62" s="9"/>
      <c r="Y62" s="10" t="s">
        <v>293</v>
      </c>
      <c r="Z62" s="35" t="s">
        <v>75</v>
      </c>
      <c r="AA62" s="8" t="s">
        <v>75</v>
      </c>
      <c r="AB62" s="9"/>
      <c r="AC62" s="114"/>
      <c r="AD62" s="8">
        <v>5</v>
      </c>
      <c r="AE62" s="9">
        <v>15</v>
      </c>
      <c r="AF62" s="9">
        <v>75</v>
      </c>
      <c r="AG62" s="9">
        <v>0</v>
      </c>
      <c r="AH62" s="9">
        <v>5</v>
      </c>
      <c r="AI62" s="9">
        <v>0</v>
      </c>
      <c r="AJ62" s="9">
        <v>1080</v>
      </c>
      <c r="AK62" s="9">
        <v>3240</v>
      </c>
      <c r="AL62" s="9">
        <v>16200</v>
      </c>
      <c r="AM62" s="9">
        <v>0</v>
      </c>
      <c r="AN62" s="9">
        <v>1080</v>
      </c>
      <c r="AO62" s="9">
        <v>0</v>
      </c>
      <c r="AP62" s="9" t="s">
        <v>293</v>
      </c>
      <c r="AT62" s="8" t="s">
        <v>397</v>
      </c>
      <c r="AU62" s="41" t="s">
        <v>397</v>
      </c>
      <c r="AV62" s="41" t="s">
        <v>397</v>
      </c>
      <c r="AW62" s="41" t="s">
        <v>397</v>
      </c>
      <c r="AX62" s="9" t="s">
        <v>147</v>
      </c>
      <c r="AY62" s="41" t="s">
        <v>397</v>
      </c>
      <c r="AZ62" s="41" t="s">
        <v>397</v>
      </c>
      <c r="BA62" s="41" t="s">
        <v>397</v>
      </c>
      <c r="BB62" s="41" t="s">
        <v>397</v>
      </c>
      <c r="BC62" s="41" t="s">
        <v>397</v>
      </c>
      <c r="BD62" s="9"/>
      <c r="BE62" s="35" t="s">
        <v>152</v>
      </c>
      <c r="BQ62" s="9" t="s">
        <v>292</v>
      </c>
      <c r="CD62" s="9" t="s">
        <v>292</v>
      </c>
      <c r="CI62" s="149"/>
      <c r="CP62" t="s">
        <v>137</v>
      </c>
      <c r="CQ62" t="s">
        <v>138</v>
      </c>
      <c r="CR62" t="s">
        <v>136</v>
      </c>
    </row>
    <row r="63" spans="1:96" x14ac:dyDescent="0.2">
      <c r="A63" s="79">
        <v>3000</v>
      </c>
      <c r="B63">
        <v>3000</v>
      </c>
      <c r="C63" t="s">
        <v>75</v>
      </c>
      <c r="D63" t="s">
        <v>131</v>
      </c>
      <c r="E63" t="s">
        <v>338</v>
      </c>
      <c r="F63" s="8">
        <v>217000</v>
      </c>
      <c r="G63" s="9">
        <f t="shared" si="1"/>
        <v>217000</v>
      </c>
      <c r="H63" s="10"/>
      <c r="I63" s="35" t="s">
        <v>75</v>
      </c>
      <c r="J63" s="35"/>
      <c r="K63" s="9">
        <v>1</v>
      </c>
      <c r="L63" s="9">
        <v>97</v>
      </c>
      <c r="M63" s="9">
        <v>1</v>
      </c>
      <c r="N63" s="9">
        <v>1</v>
      </c>
      <c r="O63" s="9">
        <v>2170</v>
      </c>
      <c r="P63" s="9">
        <v>210490</v>
      </c>
      <c r="Q63" s="9">
        <v>2170</v>
      </c>
      <c r="R63" s="9">
        <v>2170</v>
      </c>
      <c r="S63" s="10" t="s">
        <v>293</v>
      </c>
      <c r="T63" s="8">
        <v>32</v>
      </c>
      <c r="U63" s="9">
        <v>32</v>
      </c>
      <c r="V63" s="9">
        <v>20</v>
      </c>
      <c r="W63" s="9">
        <v>20</v>
      </c>
      <c r="X63" s="9"/>
      <c r="Y63" s="10" t="s">
        <v>293</v>
      </c>
      <c r="Z63" s="35" t="s">
        <v>75</v>
      </c>
      <c r="AA63" s="8" t="s">
        <v>75</v>
      </c>
      <c r="AB63" s="9"/>
      <c r="AC63" s="114"/>
      <c r="AP63" s="9" t="s">
        <v>292</v>
      </c>
      <c r="AT63" s="8" t="s">
        <v>147</v>
      </c>
      <c r="AU63" s="8" t="s">
        <v>147</v>
      </c>
      <c r="AV63" s="8" t="s">
        <v>147</v>
      </c>
      <c r="AW63" s="41" t="s">
        <v>397</v>
      </c>
      <c r="AX63" s="9" t="s">
        <v>147</v>
      </c>
      <c r="AY63" s="9" t="s">
        <v>147</v>
      </c>
      <c r="AZ63" s="41" t="s">
        <v>397</v>
      </c>
      <c r="BA63" s="41" t="s">
        <v>397</v>
      </c>
      <c r="BB63" s="9" t="s">
        <v>147</v>
      </c>
      <c r="BC63" s="9" t="s">
        <v>147</v>
      </c>
      <c r="BD63" s="9"/>
      <c r="BE63" s="35" t="s">
        <v>75</v>
      </c>
      <c r="BG63" s="8">
        <v>75</v>
      </c>
      <c r="BH63" s="9">
        <v>0</v>
      </c>
      <c r="BI63" s="9">
        <v>0</v>
      </c>
      <c r="BJ63" s="9">
        <v>25</v>
      </c>
      <c r="BK63" s="9">
        <v>0</v>
      </c>
      <c r="BL63" s="9">
        <v>1627.5</v>
      </c>
      <c r="BM63" s="9">
        <v>0</v>
      </c>
      <c r="BN63" s="9">
        <v>0</v>
      </c>
      <c r="BO63" s="9">
        <v>542.5</v>
      </c>
      <c r="BP63" s="9">
        <v>0</v>
      </c>
      <c r="BQ63" s="9" t="s">
        <v>293</v>
      </c>
      <c r="BT63" s="35">
        <v>0.95</v>
      </c>
      <c r="BU63" s="8">
        <v>7.5</v>
      </c>
      <c r="BW63" s="9">
        <v>7.5</v>
      </c>
      <c r="BX63" s="9">
        <v>0</v>
      </c>
      <c r="BY63" s="9">
        <v>7.5</v>
      </c>
      <c r="BZ63" s="9">
        <v>0</v>
      </c>
      <c r="CF63" s="8" t="s">
        <v>74</v>
      </c>
      <c r="CR63" t="s">
        <v>132</v>
      </c>
    </row>
    <row r="64" spans="1:96" s="12" customFormat="1" ht="16" thickBot="1" x14ac:dyDescent="0.25">
      <c r="A64" s="48">
        <v>3001</v>
      </c>
      <c r="B64" s="12">
        <v>3001</v>
      </c>
      <c r="C64" s="12" t="s">
        <v>75</v>
      </c>
      <c r="D64" s="12" t="s">
        <v>133</v>
      </c>
      <c r="E64" s="12" t="s">
        <v>340</v>
      </c>
      <c r="F64" s="12">
        <v>300000</v>
      </c>
      <c r="G64" s="9">
        <f t="shared" si="1"/>
        <v>0</v>
      </c>
      <c r="I64" s="12" t="s">
        <v>152</v>
      </c>
      <c r="J64" s="9"/>
      <c r="K64" s="9"/>
      <c r="L64" s="9"/>
      <c r="M64" s="9"/>
      <c r="N64" s="9"/>
      <c r="O64" s="9"/>
      <c r="P64" s="9"/>
      <c r="Q64" s="9"/>
      <c r="R64" s="9"/>
      <c r="S64" s="9" t="s">
        <v>292</v>
      </c>
      <c r="T64" s="9">
        <v>58</v>
      </c>
      <c r="U64" s="9">
        <v>58</v>
      </c>
      <c r="V64" s="9">
        <v>58</v>
      </c>
      <c r="W64" s="9">
        <v>58</v>
      </c>
      <c r="Y64" s="9" t="s">
        <v>293</v>
      </c>
      <c r="Z64" s="9" t="s">
        <v>75</v>
      </c>
      <c r="AA64" s="9" t="s">
        <v>75</v>
      </c>
      <c r="AC64" s="116"/>
      <c r="AP64" s="12" t="s">
        <v>292</v>
      </c>
      <c r="AS64" s="116"/>
      <c r="AT64" s="12" t="s">
        <v>147</v>
      </c>
      <c r="AU64" s="12" t="s">
        <v>147</v>
      </c>
      <c r="AV64" s="12" t="s">
        <v>147</v>
      </c>
      <c r="AW64" s="12" t="s">
        <v>397</v>
      </c>
      <c r="AX64" s="12" t="s">
        <v>397</v>
      </c>
      <c r="AY64" s="12" t="s">
        <v>397</v>
      </c>
      <c r="AZ64" s="12" t="s">
        <v>397</v>
      </c>
      <c r="BA64" s="12" t="s">
        <v>397</v>
      </c>
      <c r="BB64" s="12" t="s">
        <v>397</v>
      </c>
      <c r="BC64" s="12" t="s">
        <v>397</v>
      </c>
      <c r="BD64" s="9"/>
      <c r="BE64" s="12" t="s">
        <v>152</v>
      </c>
      <c r="BF64" s="114"/>
      <c r="BG64" s="9"/>
      <c r="BH64" s="9"/>
      <c r="BI64" s="9"/>
      <c r="BJ64" s="9"/>
      <c r="BK64" s="9"/>
      <c r="BL64" s="9"/>
      <c r="BM64" s="9"/>
      <c r="BN64" s="9"/>
      <c r="BO64" s="9"/>
      <c r="BP64" s="9"/>
      <c r="BQ64" s="9"/>
      <c r="BR64" s="9"/>
      <c r="BS64" s="114"/>
      <c r="BT64" s="9"/>
      <c r="BU64" s="9"/>
      <c r="BV64" s="9"/>
      <c r="BW64" s="9"/>
      <c r="BX64" s="9"/>
      <c r="BY64" s="9"/>
      <c r="BZ64" s="9"/>
      <c r="CA64" s="9"/>
      <c r="CB64" s="9"/>
      <c r="CC64" s="9"/>
      <c r="CD64" s="9"/>
      <c r="CE64" s="114"/>
      <c r="CP64" s="12" t="s">
        <v>134</v>
      </c>
    </row>
    <row r="65" spans="1:94" s="9" customFormat="1" ht="76" customHeight="1" thickBot="1" x14ac:dyDescent="0.25">
      <c r="A65" s="46"/>
      <c r="F65" s="72" t="s">
        <v>232</v>
      </c>
      <c r="G65" s="71"/>
      <c r="H65" s="73" t="s">
        <v>294</v>
      </c>
      <c r="I65" s="119"/>
      <c r="J65" s="119"/>
      <c r="K65" s="156" t="s">
        <v>234</v>
      </c>
      <c r="L65" s="105" t="s">
        <v>235</v>
      </c>
      <c r="M65" s="105" t="s">
        <v>236</v>
      </c>
      <c r="N65" s="105" t="s">
        <v>237</v>
      </c>
      <c r="O65" s="105" t="s">
        <v>238</v>
      </c>
      <c r="P65" s="105" t="s">
        <v>239</v>
      </c>
      <c r="Q65" s="105" t="s">
        <v>240</v>
      </c>
      <c r="R65" s="105" t="s">
        <v>241</v>
      </c>
      <c r="S65" s="106" t="s">
        <v>291</v>
      </c>
      <c r="T65" s="99" t="s">
        <v>243</v>
      </c>
      <c r="U65" s="92" t="s">
        <v>244</v>
      </c>
      <c r="V65" s="92" t="s">
        <v>245</v>
      </c>
      <c r="W65" s="93" t="s">
        <v>246</v>
      </c>
      <c r="X65" s="74" t="s">
        <v>296</v>
      </c>
      <c r="Y65" s="75" t="s">
        <v>295</v>
      </c>
      <c r="Z65" s="77" t="s">
        <v>247</v>
      </c>
      <c r="AA65" s="72" t="s">
        <v>250</v>
      </c>
      <c r="AB65" s="71" t="s">
        <v>18</v>
      </c>
      <c r="AC65" s="117"/>
      <c r="AD65" s="118" t="s">
        <v>251</v>
      </c>
      <c r="AE65" s="119" t="s">
        <v>252</v>
      </c>
      <c r="AF65" s="119" t="s">
        <v>253</v>
      </c>
      <c r="AG65" s="119" t="s">
        <v>254</v>
      </c>
      <c r="AH65" s="119" t="s">
        <v>255</v>
      </c>
      <c r="AI65" s="119" t="s">
        <v>256</v>
      </c>
      <c r="AJ65" s="119" t="s">
        <v>257</v>
      </c>
      <c r="AK65" s="119" t="s">
        <v>258</v>
      </c>
      <c r="AL65" s="119" t="s">
        <v>259</v>
      </c>
      <c r="AM65" s="119" t="s">
        <v>260</v>
      </c>
      <c r="AN65" s="119" t="s">
        <v>261</v>
      </c>
      <c r="AO65" s="119" t="s">
        <v>262</v>
      </c>
      <c r="AP65" s="120" t="s">
        <v>298</v>
      </c>
      <c r="AQ65" s="121" t="s">
        <v>299</v>
      </c>
      <c r="AR65" s="64"/>
      <c r="AS65" s="128"/>
      <c r="AT65" s="72" t="s">
        <v>263</v>
      </c>
      <c r="AU65" s="71" t="s">
        <v>264</v>
      </c>
      <c r="AV65" s="71" t="s">
        <v>265</v>
      </c>
      <c r="AW65" s="71" t="s">
        <v>266</v>
      </c>
      <c r="AX65" s="71" t="s">
        <v>267</v>
      </c>
      <c r="AY65" s="71" t="s">
        <v>268</v>
      </c>
      <c r="AZ65" s="71" t="s">
        <v>269</v>
      </c>
      <c r="BA65" s="71" t="s">
        <v>270</v>
      </c>
      <c r="BB65" s="71" t="s">
        <v>271</v>
      </c>
      <c r="BC65" s="71" t="s">
        <v>272</v>
      </c>
      <c r="BD65" s="117"/>
      <c r="BE65" s="72" t="s">
        <v>273</v>
      </c>
      <c r="BF65" s="138"/>
      <c r="BG65" s="139" t="s">
        <v>274</v>
      </c>
      <c r="BH65" s="139" t="s">
        <v>252</v>
      </c>
      <c r="BI65" s="139" t="s">
        <v>253</v>
      </c>
      <c r="BJ65" s="139" t="s">
        <v>279</v>
      </c>
      <c r="BK65" s="139" t="s">
        <v>256</v>
      </c>
      <c r="BL65" s="139" t="s">
        <v>257</v>
      </c>
      <c r="BM65" s="139" t="s">
        <v>258</v>
      </c>
      <c r="BN65" s="139" t="s">
        <v>259</v>
      </c>
      <c r="BO65" s="139" t="s">
        <v>261</v>
      </c>
      <c r="BP65" s="139" t="s">
        <v>262</v>
      </c>
      <c r="BQ65" s="140" t="s">
        <v>300</v>
      </c>
      <c r="BR65" s="144" t="s">
        <v>301</v>
      </c>
      <c r="BS65" s="147"/>
      <c r="BT65" s="140" t="s">
        <v>280</v>
      </c>
      <c r="BU65" s="140" t="s">
        <v>282</v>
      </c>
      <c r="BV65" s="140" t="s">
        <v>283</v>
      </c>
      <c r="BW65" s="140" t="s">
        <v>284</v>
      </c>
      <c r="BX65" s="140" t="s">
        <v>285</v>
      </c>
      <c r="BY65" s="140" t="s">
        <v>286</v>
      </c>
      <c r="BZ65" s="140" t="s">
        <v>287</v>
      </c>
      <c r="CA65" s="140" t="s">
        <v>59</v>
      </c>
      <c r="CB65" s="140" t="s">
        <v>60</v>
      </c>
      <c r="CC65" s="140" t="s">
        <v>303</v>
      </c>
      <c r="CD65" s="141" t="s">
        <v>302</v>
      </c>
      <c r="CE65" s="148"/>
      <c r="CF65" s="63" t="s">
        <v>61</v>
      </c>
      <c r="CG65" s="73" t="s">
        <v>62</v>
      </c>
      <c r="CP65" s="71" t="s">
        <v>71</v>
      </c>
    </row>
    <row r="66" spans="1:94" ht="16" thickBot="1" x14ac:dyDescent="0.25">
      <c r="A66" t="s">
        <v>307</v>
      </c>
      <c r="E66" t="s">
        <v>307</v>
      </c>
      <c r="F66" s="1">
        <f>AVERAGE(F3:F64)</f>
        <v>74911.461451612893</v>
      </c>
      <c r="G66" s="1"/>
      <c r="K66" s="107">
        <f>AVERAGE(K3:K64)</f>
        <v>21.101972539725807</v>
      </c>
      <c r="L66" s="103">
        <f t="shared" ref="L66:R66" si="6">AVERAGE(L3:L64)</f>
        <v>58.949432754037893</v>
      </c>
      <c r="M66" s="103">
        <f t="shared" si="6"/>
        <v>13.011802672365761</v>
      </c>
      <c r="N66" s="103">
        <f t="shared" si="6"/>
        <v>6.9367920338705362</v>
      </c>
      <c r="O66" s="103">
        <f t="shared" si="6"/>
        <v>5403.2447791128561</v>
      </c>
      <c r="P66" s="103">
        <f t="shared" si="6"/>
        <v>37905.520148130665</v>
      </c>
      <c r="Q66" s="103">
        <f t="shared" si="6"/>
        <v>20804.485822039918</v>
      </c>
      <c r="R66" s="103">
        <f t="shared" si="6"/>
        <v>4343.739350281413</v>
      </c>
      <c r="S66" s="150">
        <f>SUM(O66:R66)</f>
        <v>68456.99009956485</v>
      </c>
      <c r="T66" s="100">
        <f t="shared" ref="T66" si="7">AVERAGE(T3:T64)</f>
        <v>42.876666666666665</v>
      </c>
      <c r="U66" s="90">
        <f t="shared" ref="U66" si="8">AVERAGE(U3:U64)</f>
        <v>37.697142857142858</v>
      </c>
      <c r="V66" s="90">
        <f t="shared" ref="V66:W66" si="9">AVERAGE(V3:V64)</f>
        <v>28.78896551724138</v>
      </c>
      <c r="W66" s="91">
        <f t="shared" si="9"/>
        <v>29.799130434782608</v>
      </c>
      <c r="Y66" s="94"/>
      <c r="Z66" s="95"/>
      <c r="AA66" s="96"/>
      <c r="AC66" s="65" t="s">
        <v>307</v>
      </c>
      <c r="AD66" s="122">
        <f t="shared" ref="AD66:AJ66" si="10">AVERAGE(AD3:AD64)*0.01</f>
        <v>0.28652820128268286</v>
      </c>
      <c r="AE66" s="123">
        <f t="shared" si="10"/>
        <v>0.37503716730759545</v>
      </c>
      <c r="AF66" s="123">
        <f t="shared" si="10"/>
        <v>0.23040522228775243</v>
      </c>
      <c r="AG66" s="123">
        <f t="shared" si="10"/>
        <v>3.6742424242424243E-2</v>
      </c>
      <c r="AH66" s="123">
        <f t="shared" si="10"/>
        <v>6.2953651546211825E-2</v>
      </c>
      <c r="AI66" s="123">
        <f t="shared" si="10"/>
        <v>8.3333333333333332E-3</v>
      </c>
      <c r="AJ66" s="123">
        <f t="shared" si="10"/>
        <v>24.459247050700867</v>
      </c>
      <c r="AK66" s="123">
        <f>AVERAGE(AK3:AK64)</f>
        <v>2524.3067619026797</v>
      </c>
      <c r="AL66" s="123">
        <f t="shared" ref="AL66:AO66" si="11">AVERAGE(AL3:AL64)</f>
        <v>4644.259257409889</v>
      </c>
      <c r="AM66" s="123">
        <f t="shared" si="11"/>
        <v>146.52478113548662</v>
      </c>
      <c r="AN66" s="123">
        <f t="shared" si="11"/>
        <v>578.70980428440168</v>
      </c>
      <c r="AO66" s="123">
        <f t="shared" si="11"/>
        <v>33.962712579217644</v>
      </c>
      <c r="AP66" s="123"/>
      <c r="AQ66" s="124"/>
      <c r="AS66" s="114" t="s">
        <v>147</v>
      </c>
      <c r="AT66">
        <f>COUNTIF(AT3:AT64,"Now")</f>
        <v>20</v>
      </c>
      <c r="AU66">
        <f t="shared" ref="AU66:BC66" si="12">COUNTIF(AU3:AU64,"Now")</f>
        <v>23</v>
      </c>
      <c r="AV66">
        <f t="shared" si="12"/>
        <v>34</v>
      </c>
      <c r="AW66">
        <f t="shared" si="12"/>
        <v>11</v>
      </c>
      <c r="AX66">
        <f t="shared" si="12"/>
        <v>40</v>
      </c>
      <c r="AY66">
        <f t="shared" si="12"/>
        <v>15</v>
      </c>
      <c r="AZ66">
        <f t="shared" si="12"/>
        <v>10</v>
      </c>
      <c r="BA66">
        <f t="shared" si="12"/>
        <v>7</v>
      </c>
      <c r="BB66">
        <f t="shared" si="12"/>
        <v>28</v>
      </c>
      <c r="BC66">
        <f t="shared" si="12"/>
        <v>23</v>
      </c>
      <c r="BD66" s="65" t="s">
        <v>141</v>
      </c>
      <c r="BE66" s="8">
        <f>COUNTIF(BE3:BE64,"Yes")</f>
        <v>28</v>
      </c>
      <c r="BF66" s="142" t="s">
        <v>307</v>
      </c>
      <c r="BG66" s="104">
        <f>AVERAGE(BG3:BG64)</f>
        <v>63.696760068806405</v>
      </c>
      <c r="BH66" s="104">
        <f t="shared" ref="BH66:BP66" si="13">AVERAGE(BH3:BH64)</f>
        <v>6.7376145894285164</v>
      </c>
      <c r="BI66" s="104">
        <f t="shared" si="13"/>
        <v>10.904281256095183</v>
      </c>
      <c r="BJ66" s="104">
        <f t="shared" si="13"/>
        <v>10.328010752336562</v>
      </c>
      <c r="BK66" s="104">
        <f t="shared" si="13"/>
        <v>0.41666666666666669</v>
      </c>
      <c r="BL66" s="104">
        <f t="shared" si="13"/>
        <v>39544.453236114285</v>
      </c>
      <c r="BM66" s="104">
        <f t="shared" si="13"/>
        <v>2307.722638597344</v>
      </c>
      <c r="BN66" s="104">
        <f t="shared" si="13"/>
        <v>3300.9463827249551</v>
      </c>
      <c r="BO66" s="104">
        <f t="shared" si="13"/>
        <v>1343.8065672637624</v>
      </c>
      <c r="BP66" s="104">
        <f t="shared" si="13"/>
        <v>0.98045454545454547</v>
      </c>
      <c r="BQ66" s="104"/>
      <c r="BR66" s="145"/>
      <c r="BS66" s="142" t="s">
        <v>307</v>
      </c>
      <c r="BT66" s="104">
        <f>AVERAGE(BT3:BT63)</f>
        <v>208.47105263157894</v>
      </c>
      <c r="BU66" s="104">
        <f t="shared" ref="BU66:BZ66" si="14">AVERAGE(BU3:BU63)</f>
        <v>19.100000000000001</v>
      </c>
      <c r="BV66" s="104">
        <f t="shared" si="14"/>
        <v>0</v>
      </c>
      <c r="BW66" s="104">
        <f t="shared" si="14"/>
        <v>17.907499999999999</v>
      </c>
      <c r="BX66" s="104">
        <f t="shared" si="14"/>
        <v>822.12333333333333</v>
      </c>
      <c r="BY66" s="104">
        <f t="shared" si="14"/>
        <v>8.8333333333333339</v>
      </c>
      <c r="BZ66" s="104">
        <f t="shared" si="14"/>
        <v>8416.2333333333336</v>
      </c>
      <c r="CA66" s="104"/>
      <c r="CB66" s="104"/>
      <c r="CC66" s="104"/>
      <c r="CD66" s="126"/>
      <c r="CE66" s="9" t="s">
        <v>305</v>
      </c>
      <c r="CF66" s="8">
        <f>COUNTIF(CF3:CF64,"Other")</f>
        <v>5</v>
      </c>
      <c r="CH66" s="8" t="s">
        <v>141</v>
      </c>
      <c r="CO66" s="10" t="s">
        <v>309</v>
      </c>
      <c r="CP66">
        <f>COUNTA(CP3:CP64)</f>
        <v>42</v>
      </c>
    </row>
    <row r="67" spans="1:94" x14ac:dyDescent="0.2">
      <c r="A67" t="s">
        <v>308</v>
      </c>
      <c r="E67" t="s">
        <v>308</v>
      </c>
      <c r="F67" s="1">
        <f>MEDIAN(F3:F64)</f>
        <v>22081.5</v>
      </c>
      <c r="G67" s="1"/>
      <c r="K67" s="107">
        <f t="shared" ref="K67:R67" si="15">MEDIAN(K3:K64)</f>
        <v>2.2261949087331407</v>
      </c>
      <c r="L67" s="103">
        <f t="shared" si="15"/>
        <v>68.350150960625939</v>
      </c>
      <c r="M67" s="103">
        <f t="shared" si="15"/>
        <v>0</v>
      </c>
      <c r="N67" s="103">
        <f t="shared" si="15"/>
        <v>0</v>
      </c>
      <c r="O67" s="103">
        <f t="shared" si="15"/>
        <v>372</v>
      </c>
      <c r="P67" s="103">
        <f t="shared" si="15"/>
        <v>4612.5</v>
      </c>
      <c r="Q67" s="103">
        <f t="shared" si="15"/>
        <v>0</v>
      </c>
      <c r="R67" s="103">
        <f t="shared" si="15"/>
        <v>0</v>
      </c>
      <c r="S67" s="108"/>
      <c r="T67" s="101">
        <f>MEDIAN(T3:T64)</f>
        <v>34</v>
      </c>
      <c r="U67" s="81">
        <f>MEDIAN(U3:U64)</f>
        <v>31</v>
      </c>
      <c r="V67" s="81">
        <f>MEDIAN(V3:V64)</f>
        <v>24</v>
      </c>
      <c r="W67" s="86">
        <f>MEDIAN(W3:W64)</f>
        <v>24.5</v>
      </c>
      <c r="Y67" s="82" t="s">
        <v>312</v>
      </c>
      <c r="Z67" s="83" t="s">
        <v>311</v>
      </c>
      <c r="AA67" s="84" t="s">
        <v>311</v>
      </c>
      <c r="AC67" s="114" t="s">
        <v>308</v>
      </c>
      <c r="AD67" s="125">
        <f>MEDIAN(AD3:AD64)</f>
        <v>8.5454545454545467</v>
      </c>
      <c r="AE67" s="104">
        <f t="shared" ref="AE67:AO67" si="16">MEDIAN(AE3:AE64)</f>
        <v>27.5</v>
      </c>
      <c r="AF67" s="104">
        <f t="shared" si="16"/>
        <v>5.5</v>
      </c>
      <c r="AG67" s="104">
        <f t="shared" si="16"/>
        <v>0</v>
      </c>
      <c r="AH67" s="104">
        <f t="shared" si="16"/>
        <v>5</v>
      </c>
      <c r="AI67" s="104">
        <f t="shared" si="16"/>
        <v>0</v>
      </c>
      <c r="AJ67" s="104">
        <f t="shared" si="16"/>
        <v>200</v>
      </c>
      <c r="AK67" s="104">
        <f t="shared" si="16"/>
        <v>341.85060039120674</v>
      </c>
      <c r="AL67" s="104">
        <f t="shared" si="16"/>
        <v>37.3125</v>
      </c>
      <c r="AM67" s="104">
        <f t="shared" si="16"/>
        <v>0</v>
      </c>
      <c r="AN67" s="104">
        <f t="shared" si="16"/>
        <v>26.644291599537201</v>
      </c>
      <c r="AO67" s="104">
        <f t="shared" si="16"/>
        <v>0</v>
      </c>
      <c r="AP67" s="104"/>
      <c r="AQ67" s="126"/>
      <c r="AS67" s="114" t="s">
        <v>151</v>
      </c>
      <c r="AT67">
        <f>COUNTIF(AT3:AT64,"Two Years")</f>
        <v>2</v>
      </c>
      <c r="AU67">
        <f t="shared" ref="AU67:BC67" si="17">COUNTIF(AU3:AU64,"Two Years")</f>
        <v>0</v>
      </c>
      <c r="AV67">
        <f t="shared" si="17"/>
        <v>2</v>
      </c>
      <c r="AW67">
        <f t="shared" si="17"/>
        <v>0</v>
      </c>
      <c r="AX67">
        <f t="shared" si="17"/>
        <v>1</v>
      </c>
      <c r="AY67">
        <f t="shared" si="17"/>
        <v>0</v>
      </c>
      <c r="AZ67">
        <f t="shared" si="17"/>
        <v>4</v>
      </c>
      <c r="BA67">
        <f t="shared" si="17"/>
        <v>1</v>
      </c>
      <c r="BB67">
        <f t="shared" si="17"/>
        <v>0</v>
      </c>
      <c r="BC67">
        <f t="shared" si="17"/>
        <v>1</v>
      </c>
      <c r="BD67" s="65" t="s">
        <v>146</v>
      </c>
      <c r="BE67" s="8">
        <f>COUNTIF(BE3:BE64,"Two")</f>
        <v>1</v>
      </c>
      <c r="BF67" s="142" t="s">
        <v>308</v>
      </c>
      <c r="BG67" s="104">
        <f>MEDIAN(BG3:BG64)</f>
        <v>77.5</v>
      </c>
      <c r="BH67" s="104">
        <f t="shared" ref="BH67:BP67" si="18">MEDIAN(BH3:BH64)</f>
        <v>0</v>
      </c>
      <c r="BI67" s="104">
        <f t="shared" si="18"/>
        <v>2.5</v>
      </c>
      <c r="BJ67" s="104">
        <f t="shared" si="18"/>
        <v>3.6702750146284377</v>
      </c>
      <c r="BK67" s="104">
        <f t="shared" si="18"/>
        <v>0</v>
      </c>
      <c r="BL67" s="104">
        <f t="shared" si="18"/>
        <v>1627.5</v>
      </c>
      <c r="BM67" s="104">
        <f t="shared" si="18"/>
        <v>0</v>
      </c>
      <c r="BN67" s="104">
        <f t="shared" si="18"/>
        <v>0</v>
      </c>
      <c r="BO67" s="104">
        <f t="shared" si="18"/>
        <v>109.10999999999999</v>
      </c>
      <c r="BP67" s="104">
        <f t="shared" si="18"/>
        <v>0</v>
      </c>
      <c r="BQ67" s="104"/>
      <c r="BR67" s="145"/>
      <c r="BS67" s="142" t="s">
        <v>316</v>
      </c>
      <c r="BT67" s="104">
        <f>AVERAGEIF(BT3:BT63,"&gt;0")</f>
        <v>792.18999999999994</v>
      </c>
      <c r="BU67" s="104">
        <f t="shared" ref="BU67:BZ67" si="19">AVERAGEIF(BU3:BU63,"&gt;0")</f>
        <v>19.100000000000001</v>
      </c>
      <c r="BV67" s="104"/>
      <c r="BW67" s="104">
        <f t="shared" si="19"/>
        <v>17.907499999999999</v>
      </c>
      <c r="BX67" s="104">
        <f t="shared" si="19"/>
        <v>2466.37</v>
      </c>
      <c r="BY67" s="104">
        <f t="shared" si="19"/>
        <v>8.8333333333333339</v>
      </c>
      <c r="BZ67" s="104">
        <f t="shared" si="19"/>
        <v>12624.35</v>
      </c>
      <c r="CA67" s="104"/>
      <c r="CB67" s="104"/>
      <c r="CC67" s="104"/>
      <c r="CD67" s="126"/>
      <c r="CE67" s="9" t="s">
        <v>306</v>
      </c>
      <c r="CF67" s="8">
        <f>COUNTIF(CF3:CF64,"Repair")</f>
        <v>0</v>
      </c>
      <c r="CH67" s="8">
        <f>COUNTA(CH3:CH64)</f>
        <v>12</v>
      </c>
    </row>
    <row r="68" spans="1:94" ht="16" thickBot="1" x14ac:dyDescent="0.25">
      <c r="A68" t="s">
        <v>309</v>
      </c>
      <c r="E68" t="s">
        <v>309</v>
      </c>
      <c r="F68">
        <f>COUNTA(F3:F64)</f>
        <v>62</v>
      </c>
      <c r="H68">
        <f>COUNTA(H3:H64)</f>
        <v>5</v>
      </c>
      <c r="K68" s="109">
        <f t="shared" ref="K68:AB68" si="20">COUNTA(K3:K64)</f>
        <v>48</v>
      </c>
      <c r="L68" s="110">
        <f t="shared" si="20"/>
        <v>48</v>
      </c>
      <c r="M68" s="110">
        <f t="shared" si="20"/>
        <v>48</v>
      </c>
      <c r="N68" s="110">
        <f t="shared" si="20"/>
        <v>48</v>
      </c>
      <c r="O68" s="110">
        <f t="shared" si="20"/>
        <v>47</v>
      </c>
      <c r="P68" s="110">
        <f t="shared" si="20"/>
        <v>48</v>
      </c>
      <c r="Q68" s="110">
        <f t="shared" si="20"/>
        <v>48</v>
      </c>
      <c r="R68" s="110">
        <f t="shared" si="20"/>
        <v>48</v>
      </c>
      <c r="S68" s="111">
        <f t="shared" si="20"/>
        <v>62</v>
      </c>
      <c r="T68" s="102">
        <f t="shared" si="20"/>
        <v>42</v>
      </c>
      <c r="U68" s="88">
        <f t="shared" si="20"/>
        <v>28</v>
      </c>
      <c r="V68" s="88">
        <f t="shared" si="20"/>
        <v>29</v>
      </c>
      <c r="W68" s="89">
        <f t="shared" si="20"/>
        <v>23</v>
      </c>
      <c r="X68">
        <f t="shared" si="20"/>
        <v>17</v>
      </c>
      <c r="Y68" s="85">
        <f t="shared" si="20"/>
        <v>62</v>
      </c>
      <c r="Z68" s="81">
        <f>COUNTA(Z3:Z64)</f>
        <v>55</v>
      </c>
      <c r="AA68" s="86">
        <f t="shared" si="20"/>
        <v>48</v>
      </c>
      <c r="AB68">
        <f t="shared" si="20"/>
        <v>10</v>
      </c>
      <c r="AC68" s="65" t="s">
        <v>309</v>
      </c>
      <c r="AD68" s="109">
        <f>COUNTA(AD3:AD64)</f>
        <v>24</v>
      </c>
      <c r="AE68" s="110">
        <f t="shared" ref="AE68:AQ68" si="21">COUNTA(AE3:AE64)</f>
        <v>24</v>
      </c>
      <c r="AF68" s="110">
        <f t="shared" si="21"/>
        <v>24</v>
      </c>
      <c r="AG68" s="110">
        <f t="shared" si="21"/>
        <v>24</v>
      </c>
      <c r="AH68" s="110">
        <f t="shared" si="21"/>
        <v>24</v>
      </c>
      <c r="AI68" s="110">
        <f t="shared" si="21"/>
        <v>24</v>
      </c>
      <c r="AJ68" s="110">
        <f t="shared" si="21"/>
        <v>24</v>
      </c>
      <c r="AK68" s="110">
        <f t="shared" si="21"/>
        <v>24</v>
      </c>
      <c r="AL68" s="110">
        <f t="shared" si="21"/>
        <v>24</v>
      </c>
      <c r="AM68" s="110">
        <f t="shared" si="21"/>
        <v>24</v>
      </c>
      <c r="AN68" s="110">
        <f t="shared" si="21"/>
        <v>24</v>
      </c>
      <c r="AO68" s="110">
        <f t="shared" si="21"/>
        <v>24</v>
      </c>
      <c r="AP68" s="110">
        <f>COUNTA(AP3:AP64)</f>
        <v>62</v>
      </c>
      <c r="AQ68" s="111">
        <f t="shared" si="21"/>
        <v>6</v>
      </c>
      <c r="AS68" s="114" t="s">
        <v>313</v>
      </c>
      <c r="AT68" s="41">
        <f>COUNTA(AT3:AT64)</f>
        <v>62</v>
      </c>
      <c r="AU68" s="41">
        <f t="shared" ref="AU68:BC68" si="22">COUNTA(AU3:AU64)</f>
        <v>62</v>
      </c>
      <c r="AV68" s="41">
        <f t="shared" si="22"/>
        <v>62</v>
      </c>
      <c r="AW68" s="41">
        <f t="shared" si="22"/>
        <v>62</v>
      </c>
      <c r="AX68" s="41">
        <f t="shared" si="22"/>
        <v>62</v>
      </c>
      <c r="AY68" s="41">
        <f t="shared" si="22"/>
        <v>62</v>
      </c>
      <c r="AZ68" s="41">
        <f t="shared" si="22"/>
        <v>62</v>
      </c>
      <c r="BA68" s="41">
        <f t="shared" si="22"/>
        <v>62</v>
      </c>
      <c r="BB68" s="41">
        <f t="shared" si="22"/>
        <v>62</v>
      </c>
      <c r="BC68" s="41">
        <f t="shared" si="22"/>
        <v>62</v>
      </c>
      <c r="BD68" s="114" t="s">
        <v>152</v>
      </c>
      <c r="BE68" s="8">
        <f>COUNTIF(BE3:BE64,"No")</f>
        <v>33</v>
      </c>
      <c r="BF68" s="143" t="s">
        <v>309</v>
      </c>
      <c r="BG68" s="110">
        <f>COUNTA(BG3:BG64)</f>
        <v>12</v>
      </c>
      <c r="BH68" s="110">
        <f t="shared" ref="BH68:BR68" si="23">COUNTA(BH3:BH64)</f>
        <v>12</v>
      </c>
      <c r="BI68" s="110">
        <f t="shared" si="23"/>
        <v>12</v>
      </c>
      <c r="BJ68" s="110">
        <f t="shared" si="23"/>
        <v>12</v>
      </c>
      <c r="BK68" s="110">
        <f t="shared" si="23"/>
        <v>12</v>
      </c>
      <c r="BL68" s="110">
        <f t="shared" si="23"/>
        <v>11</v>
      </c>
      <c r="BM68" s="110">
        <f t="shared" si="23"/>
        <v>11</v>
      </c>
      <c r="BN68" s="110">
        <f t="shared" si="23"/>
        <v>11</v>
      </c>
      <c r="BO68" s="110">
        <f t="shared" si="23"/>
        <v>11</v>
      </c>
      <c r="BP68" s="110">
        <f t="shared" si="23"/>
        <v>11</v>
      </c>
      <c r="BQ68" s="110">
        <f t="shared" si="23"/>
        <v>61</v>
      </c>
      <c r="BR68" s="146">
        <f t="shared" si="23"/>
        <v>0</v>
      </c>
      <c r="BS68" s="142" t="s">
        <v>308</v>
      </c>
      <c r="BT68" s="104">
        <f>MEDIAN(BT3:BT64)</f>
        <v>0</v>
      </c>
      <c r="BU68" s="104">
        <f t="shared" ref="BU68:BZ68" si="24">MEDIAN(BU3:BU64)</f>
        <v>18</v>
      </c>
      <c r="BV68" s="104">
        <f t="shared" si="24"/>
        <v>0</v>
      </c>
      <c r="BW68" s="104">
        <f t="shared" si="24"/>
        <v>17.065000000000001</v>
      </c>
      <c r="BX68" s="104">
        <f t="shared" si="24"/>
        <v>0</v>
      </c>
      <c r="BY68" s="104">
        <f t="shared" si="24"/>
        <v>7.5</v>
      </c>
      <c r="BZ68" s="104">
        <f t="shared" si="24"/>
        <v>4248.7</v>
      </c>
      <c r="CA68" s="104"/>
      <c r="CB68" s="104"/>
      <c r="CC68" s="104"/>
      <c r="CD68" s="126"/>
      <c r="CE68" s="9" t="s">
        <v>74</v>
      </c>
      <c r="CF68" s="8">
        <f>COUNTIF(CF3:CF64,"No")</f>
        <v>20</v>
      </c>
    </row>
    <row r="69" spans="1:94" ht="61" thickBot="1" x14ac:dyDescent="0.25">
      <c r="D69" t="s">
        <v>230</v>
      </c>
      <c r="E69" t="s">
        <v>405</v>
      </c>
      <c r="H69" t="s">
        <v>316</v>
      </c>
      <c r="T69" s="41"/>
      <c r="U69" s="41"/>
      <c r="V69" s="41"/>
      <c r="W69" s="41"/>
      <c r="Y69" s="85"/>
      <c r="Z69" s="81"/>
      <c r="AA69" s="86"/>
      <c r="AE69" s="8"/>
      <c r="AF69" s="8"/>
      <c r="AG69" s="8"/>
      <c r="AH69" s="8"/>
      <c r="AI69" s="8"/>
      <c r="AJ69" s="119" t="s">
        <v>416</v>
      </c>
      <c r="AK69" s="119" t="s">
        <v>418</v>
      </c>
      <c r="AL69" s="119" t="s">
        <v>417</v>
      </c>
      <c r="AM69" s="119" t="s">
        <v>270</v>
      </c>
      <c r="AN69" s="119" t="s">
        <v>406</v>
      </c>
      <c r="AO69" s="119" t="s">
        <v>407</v>
      </c>
      <c r="BD69" s="65" t="s">
        <v>313</v>
      </c>
      <c r="BE69" s="8">
        <f>COUNTA(BE3:BE64)</f>
        <v>62</v>
      </c>
      <c r="BF69" s="114"/>
      <c r="BG69" s="9"/>
      <c r="BR69" s="9"/>
      <c r="BS69" s="143" t="s">
        <v>309</v>
      </c>
      <c r="BT69" s="110">
        <f>COUNTA(BT3:BT63)</f>
        <v>19</v>
      </c>
      <c r="BU69" s="110">
        <f t="shared" ref="BU69:CD69" si="25">COUNTA(BU3:BU63)</f>
        <v>5</v>
      </c>
      <c r="BV69" s="110">
        <f t="shared" si="25"/>
        <v>3</v>
      </c>
      <c r="BW69" s="110">
        <f t="shared" si="25"/>
        <v>4</v>
      </c>
      <c r="BX69" s="110">
        <f t="shared" si="25"/>
        <v>3</v>
      </c>
      <c r="BY69" s="110">
        <f t="shared" si="25"/>
        <v>3</v>
      </c>
      <c r="BZ69" s="110">
        <f t="shared" si="25"/>
        <v>3</v>
      </c>
      <c r="CA69" s="110">
        <f t="shared" si="25"/>
        <v>0</v>
      </c>
      <c r="CB69" s="110">
        <f t="shared" si="25"/>
        <v>5</v>
      </c>
      <c r="CC69" s="110">
        <f t="shared" si="25"/>
        <v>13</v>
      </c>
      <c r="CD69" s="111">
        <f t="shared" si="25"/>
        <v>60</v>
      </c>
      <c r="CE69" s="114" t="s">
        <v>313</v>
      </c>
      <c r="CF69" s="41">
        <f>COUNTA(CF3:CF64)</f>
        <v>25</v>
      </c>
      <c r="CG69" s="10">
        <f>COUNTA(CG3:CG64)</f>
        <v>4</v>
      </c>
      <c r="CH69" s="8" t="s">
        <v>307</v>
      </c>
      <c r="CI69" s="149">
        <f>AVERAGE(CI3:CI64)</f>
        <v>1.8181818181818182E-3</v>
      </c>
    </row>
    <row r="70" spans="1:94" ht="16" thickBot="1" x14ac:dyDescent="0.25">
      <c r="D70" t="s">
        <v>338</v>
      </c>
      <c r="E70">
        <f>COUNTIF(E3:E64,"South")</f>
        <v>30</v>
      </c>
      <c r="J70" t="s">
        <v>410</v>
      </c>
      <c r="K70" s="103"/>
      <c r="L70" s="103"/>
      <c r="M70" s="103"/>
      <c r="N70" s="103"/>
      <c r="O70">
        <f>SUM(O3:O64)</f>
        <v>253952.50461830423</v>
      </c>
      <c r="P70">
        <f t="shared" ref="P70:R70" si="26">SUM(P3:P64)</f>
        <v>1819464.9671102718</v>
      </c>
      <c r="Q70">
        <f t="shared" si="26"/>
        <v>998615.31945791608</v>
      </c>
      <c r="R70">
        <f t="shared" si="26"/>
        <v>208499.48881350784</v>
      </c>
      <c r="S70">
        <f>SUM(O70:R70)</f>
        <v>3280532.28</v>
      </c>
      <c r="T70" s="41"/>
      <c r="U70" s="41"/>
      <c r="V70" s="41"/>
      <c r="W70" s="41"/>
      <c r="Y70" s="85" t="s">
        <v>141</v>
      </c>
      <c r="Z70" s="81">
        <f>COUNTIF(Z3:Z64,"YES")</f>
        <v>48</v>
      </c>
      <c r="AA70" s="86">
        <f>COUNTIF(AA3:AA64,"YES")</f>
        <v>39</v>
      </c>
      <c r="AI70" s="9" t="s">
        <v>413</v>
      </c>
      <c r="AJ70" s="9">
        <f>SUM(AJ3:AJ64)</f>
        <v>58702.192921682079</v>
      </c>
      <c r="AK70" s="9">
        <f t="shared" ref="AK70:AO70" si="27">SUM(AK3:AK64)</f>
        <v>60583.362285664312</v>
      </c>
      <c r="AL70" s="9">
        <f t="shared" si="27"/>
        <v>111462.22217783734</v>
      </c>
      <c r="AM70" s="9">
        <f t="shared" si="27"/>
        <v>3516.5947472516787</v>
      </c>
      <c r="AN70" s="9">
        <f t="shared" si="27"/>
        <v>13889.035302825641</v>
      </c>
      <c r="AO70" s="9">
        <f t="shared" si="27"/>
        <v>815.10510190122341</v>
      </c>
      <c r="AP70" s="41">
        <f>SUM(AJ70:AO70)</f>
        <v>248968.51253716229</v>
      </c>
      <c r="AS70" s="114" t="s">
        <v>335</v>
      </c>
      <c r="AT70" s="80">
        <f>(AT66/AT68)</f>
        <v>0.32258064516129031</v>
      </c>
      <c r="AU70" s="80">
        <f t="shared" ref="AU70:BC70" si="28">(AU66/AU68)</f>
        <v>0.37096774193548387</v>
      </c>
      <c r="AV70" s="80">
        <f t="shared" si="28"/>
        <v>0.54838709677419351</v>
      </c>
      <c r="AW70" s="80">
        <f t="shared" si="28"/>
        <v>0.17741935483870969</v>
      </c>
      <c r="AX70" s="80">
        <f t="shared" si="28"/>
        <v>0.64516129032258063</v>
      </c>
      <c r="AY70" s="80">
        <f t="shared" si="28"/>
        <v>0.24193548387096775</v>
      </c>
      <c r="AZ70" s="80">
        <f t="shared" si="28"/>
        <v>0.16129032258064516</v>
      </c>
      <c r="BA70" s="80">
        <f t="shared" si="28"/>
        <v>0.11290322580645161</v>
      </c>
      <c r="BB70" s="80">
        <f t="shared" si="28"/>
        <v>0.45161290322580644</v>
      </c>
      <c r="BC70" s="80">
        <f t="shared" si="28"/>
        <v>0.37096774193548387</v>
      </c>
      <c r="BD70" s="65" t="s">
        <v>310</v>
      </c>
      <c r="BE70" s="130">
        <f>(BE66/BE69)</f>
        <v>0.45161290322580644</v>
      </c>
      <c r="BF70" s="135"/>
      <c r="BT70" s="35">
        <f>COUNTIF(BT3:BT63,"&gt;0")</f>
        <v>5</v>
      </c>
      <c r="CH70" s="8" t="s">
        <v>308</v>
      </c>
      <c r="CI70" s="9">
        <f>MEDIAN(CI3:CI64)</f>
        <v>0</v>
      </c>
    </row>
    <row r="71" spans="1:94" ht="60" x14ac:dyDescent="0.2">
      <c r="D71" t="s">
        <v>341</v>
      </c>
      <c r="E71">
        <f>COUNTIF(E3:E64,"Midwest")</f>
        <v>14</v>
      </c>
      <c r="J71" s="204" t="s">
        <v>331</v>
      </c>
      <c r="N71" t="s">
        <v>411</v>
      </c>
      <c r="O71" s="192">
        <f>O70/S70</f>
        <v>7.7411981636804447E-2</v>
      </c>
      <c r="P71">
        <f>P70/S70</f>
        <v>0.55462492419378717</v>
      </c>
      <c r="Q71">
        <f>Q70/S70</f>
        <v>0.3044064908448077</v>
      </c>
      <c r="R71">
        <f>R70/S70</f>
        <v>6.3556603324600683E-2</v>
      </c>
      <c r="T71" s="41"/>
      <c r="U71" s="41"/>
      <c r="V71" s="41"/>
      <c r="W71" s="41"/>
      <c r="Y71" s="85" t="s">
        <v>152</v>
      </c>
      <c r="Z71" s="81">
        <f>COUNTIF(Z3:Z64,"No")</f>
        <v>7</v>
      </c>
      <c r="AA71" s="86">
        <f>COUNTIF(AA3:AA64,"No")</f>
        <v>9</v>
      </c>
      <c r="AG71" s="9" t="s">
        <v>412</v>
      </c>
      <c r="AH71" s="9">
        <f>O72</f>
        <v>5799.0089563946576</v>
      </c>
      <c r="AI71" s="9" t="s">
        <v>411</v>
      </c>
      <c r="AJ71" s="149">
        <f>AJ70/AP70</f>
        <v>0.23578159472242458</v>
      </c>
      <c r="AK71" s="149">
        <f>AK70/AP70</f>
        <v>0.24333744724695391</v>
      </c>
      <c r="AL71" s="149">
        <f>AL70/AP70</f>
        <v>0.44769606020440006</v>
      </c>
      <c r="AM71" s="149">
        <f>AM70/AP70</f>
        <v>1.4124656613863066E-2</v>
      </c>
      <c r="AN71" s="149">
        <f>AN70/AP70</f>
        <v>5.578631274005983E-2</v>
      </c>
      <c r="AO71" s="149">
        <f>AO70/AP70</f>
        <v>3.2739284722985069E-3</v>
      </c>
      <c r="AS71" s="114" t="s">
        <v>336</v>
      </c>
      <c r="AT71" s="80">
        <f>AT67/AT68</f>
        <v>3.2258064516129031E-2</v>
      </c>
      <c r="AU71" s="80">
        <f t="shared" ref="AU71:BC71" si="29">AU67/AU68</f>
        <v>0</v>
      </c>
      <c r="AV71" s="80">
        <f t="shared" si="29"/>
        <v>3.2258064516129031E-2</v>
      </c>
      <c r="AW71" s="80">
        <f t="shared" si="29"/>
        <v>0</v>
      </c>
      <c r="AX71" s="80">
        <f t="shared" si="29"/>
        <v>1.6129032258064516E-2</v>
      </c>
      <c r="AY71" s="80">
        <f t="shared" si="29"/>
        <v>0</v>
      </c>
      <c r="AZ71" s="80">
        <f t="shared" si="29"/>
        <v>6.4516129032258063E-2</v>
      </c>
      <c r="BA71" s="80">
        <f t="shared" si="29"/>
        <v>1.6129032258064516E-2</v>
      </c>
      <c r="BB71" s="80">
        <f t="shared" si="29"/>
        <v>0</v>
      </c>
      <c r="BC71" s="80">
        <f t="shared" si="29"/>
        <v>1.6129032258064516E-2</v>
      </c>
      <c r="BD71" s="65" t="s">
        <v>314</v>
      </c>
      <c r="BE71" s="130">
        <f>BE67/BE69</f>
        <v>1.6129032258064516E-2</v>
      </c>
      <c r="BF71" s="135"/>
      <c r="BL71" s="139" t="s">
        <v>257</v>
      </c>
      <c r="BM71" s="139" t="s">
        <v>258</v>
      </c>
      <c r="BN71" s="139" t="s">
        <v>259</v>
      </c>
      <c r="BO71" s="139" t="s">
        <v>261</v>
      </c>
      <c r="BP71" s="139" t="s">
        <v>262</v>
      </c>
      <c r="BQ71" s="41"/>
      <c r="CE71" s="114" t="s">
        <v>310</v>
      </c>
      <c r="CF71" s="131">
        <f>CF66/CF69</f>
        <v>0.2</v>
      </c>
      <c r="CH71" s="8">
        <v>0</v>
      </c>
      <c r="CI71" s="9">
        <f>COUNTIF(CI3:CI64,"0")</f>
        <v>9</v>
      </c>
    </row>
    <row r="72" spans="1:94" ht="16" thickBot="1" x14ac:dyDescent="0.25">
      <c r="D72" t="s">
        <v>339</v>
      </c>
      <c r="E72">
        <f>COUNTIF(E3:E64,"West")</f>
        <v>13</v>
      </c>
      <c r="H72" t="s">
        <v>408</v>
      </c>
      <c r="M72">
        <v>74911</v>
      </c>
      <c r="N72" t="s">
        <v>412</v>
      </c>
      <c r="O72">
        <f>O71*M72</f>
        <v>5799.0089563946576</v>
      </c>
      <c r="P72">
        <f>P71*M72</f>
        <v>41547.507696280794</v>
      </c>
      <c r="Q72">
        <f>Q71*M72</f>
        <v>22803.394635675388</v>
      </c>
      <c r="R72">
        <f>R71*M72</f>
        <v>4761.0887116491622</v>
      </c>
      <c r="T72" s="41"/>
      <c r="U72" s="41"/>
      <c r="V72" s="41"/>
      <c r="W72" s="41"/>
      <c r="Y72" s="87" t="s">
        <v>310</v>
      </c>
      <c r="Z72" s="97">
        <f>(48/55)</f>
        <v>0.87272727272727268</v>
      </c>
      <c r="AA72" s="98">
        <f>(47/55)</f>
        <v>0.8545454545454545</v>
      </c>
      <c r="AI72" s="9" t="s">
        <v>412</v>
      </c>
      <c r="AJ72" s="9">
        <f>AJ71*AH71</f>
        <v>1367.2995795483555</v>
      </c>
      <c r="AK72" s="9">
        <f>AK71*AH71</f>
        <v>1411.1160360112983</v>
      </c>
      <c r="AL72" s="9">
        <f>AL71*AH71</f>
        <v>2596.1934628679178</v>
      </c>
      <c r="AM72" s="9">
        <f>AM71*AH71</f>
        <v>81.909010209790949</v>
      </c>
      <c r="AN72" s="9">
        <f>AN71*AH71</f>
        <v>323.50532722384037</v>
      </c>
      <c r="AO72" s="9">
        <f>AO71*AH71</f>
        <v>18.985540533454522</v>
      </c>
      <c r="BE72" s="130"/>
      <c r="BK72" s="9" t="s">
        <v>421</v>
      </c>
      <c r="BL72" s="9">
        <f>SUM(BL3:BL64)</f>
        <v>434988.98559725715</v>
      </c>
      <c r="BM72" s="9">
        <f>SUM(BM3:BM64)</f>
        <v>25384.949024570786</v>
      </c>
      <c r="BN72" s="9">
        <f>SUM(BN3:BN64)</f>
        <v>36310.410209974507</v>
      </c>
      <c r="BO72" s="9">
        <f>SUM(BO3:BO64)</f>
        <v>14781.872239901388</v>
      </c>
      <c r="BP72" s="9">
        <f>SUM(BP3:BP64)</f>
        <v>10.785</v>
      </c>
      <c r="BQ72" s="41">
        <f>SUM(BL72:BP72)</f>
        <v>511477.00207170378</v>
      </c>
    </row>
    <row r="73" spans="1:94" x14ac:dyDescent="0.2">
      <c r="D73" t="s">
        <v>340</v>
      </c>
      <c r="E73">
        <f>COUNTIF(E3:E64,"Northeast")</f>
        <v>5</v>
      </c>
      <c r="N73" t="s">
        <v>317</v>
      </c>
      <c r="O73">
        <f>O72*1039</f>
        <v>6025170.3056940492</v>
      </c>
      <c r="P73">
        <f>P72*1039</f>
        <v>43167860.496435747</v>
      </c>
      <c r="Q73">
        <f>Q72*1039</f>
        <v>23692727.026466727</v>
      </c>
      <c r="R73">
        <f>R72*1039</f>
        <v>4946771.1714034798</v>
      </c>
      <c r="S73">
        <f>SUM(O73:R73)</f>
        <v>77832529.000000015</v>
      </c>
      <c r="T73" s="41"/>
      <c r="U73" s="41"/>
      <c r="V73" s="41"/>
      <c r="W73" s="41"/>
      <c r="Y73" s="41"/>
      <c r="Z73" s="41"/>
      <c r="AA73" s="41"/>
      <c r="AG73" s="153"/>
      <c r="AI73" s="41" t="s">
        <v>414</v>
      </c>
      <c r="AJ73" s="9">
        <f t="shared" ref="AJ73:AO73" si="30">AJ72*1039</f>
        <v>1420624.2631507413</v>
      </c>
      <c r="AK73" s="9">
        <f t="shared" si="30"/>
        <v>1466149.5614157389</v>
      </c>
      <c r="AL73" s="9">
        <f t="shared" si="30"/>
        <v>2697445.0079197665</v>
      </c>
      <c r="AM73" s="9">
        <f t="shared" si="30"/>
        <v>85103.4616079728</v>
      </c>
      <c r="AN73" s="41">
        <f t="shared" si="30"/>
        <v>336122.03498557012</v>
      </c>
      <c r="AO73" s="41">
        <f t="shared" si="30"/>
        <v>19725.976614259249</v>
      </c>
      <c r="AQ73" s="152"/>
      <c r="AR73" s="149"/>
      <c r="BK73" s="9" t="s">
        <v>422</v>
      </c>
      <c r="BL73" s="149">
        <f>BL72/BQ72</f>
        <v>0.8504565871688522</v>
      </c>
      <c r="BM73" s="149">
        <f>BM72/BQ72</f>
        <v>4.9630675322156668E-2</v>
      </c>
      <c r="BN73" s="149">
        <f>BN72/BQ72</f>
        <v>7.0991286143661569E-2</v>
      </c>
      <c r="BO73" s="149">
        <f>BO72/BQ72</f>
        <v>2.8900365373278548E-2</v>
      </c>
      <c r="BP73" s="149">
        <f>BP72/BQ72</f>
        <v>2.108599205109139E-5</v>
      </c>
    </row>
    <row r="74" spans="1:94" ht="16" thickBot="1" x14ac:dyDescent="0.25">
      <c r="D74" t="s">
        <v>313</v>
      </c>
      <c r="E74">
        <f>SUM(E70:E73)</f>
        <v>62</v>
      </c>
      <c r="AG74" s="153"/>
      <c r="AS74" s="114" t="s">
        <v>147</v>
      </c>
      <c r="AT74" s="80">
        <f>AT66/AT68</f>
        <v>0.32258064516129031</v>
      </c>
      <c r="AU74" s="80">
        <f t="shared" ref="AU74:BC74" si="31">AU66/AU68</f>
        <v>0.37096774193548387</v>
      </c>
      <c r="AV74" s="80">
        <f t="shared" si="31"/>
        <v>0.54838709677419351</v>
      </c>
      <c r="AW74" s="80">
        <f t="shared" si="31"/>
        <v>0.17741935483870969</v>
      </c>
      <c r="AX74" s="80">
        <f t="shared" si="31"/>
        <v>0.64516129032258063</v>
      </c>
      <c r="AY74" s="80">
        <f t="shared" si="31"/>
        <v>0.24193548387096775</v>
      </c>
      <c r="AZ74" s="80">
        <f t="shared" si="31"/>
        <v>0.16129032258064516</v>
      </c>
      <c r="BA74" s="80">
        <f t="shared" si="31"/>
        <v>0.11290322580645161</v>
      </c>
      <c r="BB74" s="80">
        <f t="shared" si="31"/>
        <v>0.45161290322580644</v>
      </c>
      <c r="BC74" s="80">
        <f t="shared" si="31"/>
        <v>0.37096774193548387</v>
      </c>
    </row>
    <row r="75" spans="1:94" ht="60" x14ac:dyDescent="0.2">
      <c r="M75" s="192"/>
      <c r="AG75" s="153"/>
      <c r="AJ75" s="119" t="s">
        <v>416</v>
      </c>
      <c r="AK75" s="119" t="s">
        <v>418</v>
      </c>
      <c r="AL75" s="119" t="s">
        <v>417</v>
      </c>
      <c r="AM75" s="119" t="s">
        <v>270</v>
      </c>
      <c r="AN75" s="119" t="s">
        <v>406</v>
      </c>
      <c r="AO75" s="119" t="s">
        <v>407</v>
      </c>
      <c r="AS75" s="114" t="s">
        <v>151</v>
      </c>
      <c r="AT75" s="80">
        <f>AT67/AT68</f>
        <v>3.2258064516129031E-2</v>
      </c>
      <c r="AU75" s="80">
        <f t="shared" ref="AU75:BC75" si="32">AU67/AU68</f>
        <v>0</v>
      </c>
      <c r="AV75" s="80">
        <f t="shared" si="32"/>
        <v>3.2258064516129031E-2</v>
      </c>
      <c r="AW75" s="80">
        <f t="shared" si="32"/>
        <v>0</v>
      </c>
      <c r="AX75" s="80">
        <f t="shared" si="32"/>
        <v>1.6129032258064516E-2</v>
      </c>
      <c r="AY75" s="80">
        <f t="shared" si="32"/>
        <v>0</v>
      </c>
      <c r="AZ75" s="80">
        <f t="shared" si="32"/>
        <v>6.4516129032258063E-2</v>
      </c>
      <c r="BA75" s="80">
        <f t="shared" si="32"/>
        <v>1.6129032258064516E-2</v>
      </c>
      <c r="BB75" s="80">
        <f t="shared" si="32"/>
        <v>0</v>
      </c>
      <c r="BC75" s="80">
        <f t="shared" si="32"/>
        <v>1.6129032258064516E-2</v>
      </c>
      <c r="BE75" s="35" t="s">
        <v>337</v>
      </c>
      <c r="BI75" s="149"/>
      <c r="BJ75" s="9">
        <v>22803.394635675388</v>
      </c>
      <c r="BK75" s="41" t="s">
        <v>423</v>
      </c>
    </row>
    <row r="76" spans="1:94" ht="16" thickBot="1" x14ac:dyDescent="0.25">
      <c r="AI76" s="9" t="s">
        <v>412</v>
      </c>
      <c r="AJ76" s="153">
        <v>1367.2995795483555</v>
      </c>
      <c r="AK76" s="153">
        <v>1411.1160360112983</v>
      </c>
      <c r="AL76" s="153">
        <v>2596.1934628679178</v>
      </c>
      <c r="AM76" s="153">
        <v>81.909010209790949</v>
      </c>
      <c r="AN76" s="153">
        <v>323.50532722384037</v>
      </c>
      <c r="AO76" s="153">
        <v>18.985540533454522</v>
      </c>
      <c r="AS76" s="114" t="s">
        <v>313</v>
      </c>
      <c r="BD76" s="65">
        <v>1995</v>
      </c>
      <c r="BE76" s="130">
        <v>0.32</v>
      </c>
      <c r="BI76" s="149"/>
    </row>
    <row r="77" spans="1:94" ht="16" thickBot="1" x14ac:dyDescent="0.25">
      <c r="F77" s="1"/>
      <c r="G77" s="1"/>
      <c r="Z77" t="s">
        <v>330</v>
      </c>
      <c r="AA77" t="s">
        <v>334</v>
      </c>
      <c r="AU77" s="218" t="s">
        <v>403</v>
      </c>
      <c r="AV77" s="219"/>
      <c r="AW77" s="219"/>
      <c r="AX77" s="219"/>
      <c r="AY77" s="220"/>
      <c r="BD77" s="65">
        <v>1998</v>
      </c>
      <c r="BE77" s="130">
        <v>0.27</v>
      </c>
      <c r="BH77" s="41"/>
      <c r="BI77" s="208"/>
    </row>
    <row r="78" spans="1:94" ht="16" thickBot="1" x14ac:dyDescent="0.25">
      <c r="Z78">
        <v>1995</v>
      </c>
      <c r="AA78" s="80">
        <v>0.67110000000000003</v>
      </c>
      <c r="AU78" s="176"/>
      <c r="AV78" s="215">
        <v>1998</v>
      </c>
      <c r="AW78" s="216"/>
      <c r="AX78" s="217">
        <v>2016</v>
      </c>
      <c r="AY78" s="216"/>
      <c r="BD78" s="65">
        <v>2016</v>
      </c>
      <c r="BE78" s="130">
        <f>BE70</f>
        <v>0.45161290322580644</v>
      </c>
      <c r="BH78" s="41"/>
      <c r="BI78" s="208"/>
    </row>
    <row r="79" spans="1:94" ht="46" thickBot="1" x14ac:dyDescent="0.25">
      <c r="Z79">
        <v>1998</v>
      </c>
      <c r="AA79" s="80">
        <v>0.71479999999999999</v>
      </c>
      <c r="AK79" s="205"/>
      <c r="AU79" s="184" t="s">
        <v>404</v>
      </c>
      <c r="AV79" s="185" t="s">
        <v>398</v>
      </c>
      <c r="AW79" s="186" t="s">
        <v>399</v>
      </c>
      <c r="AX79" s="187" t="s">
        <v>398</v>
      </c>
      <c r="AY79" s="186" t="s">
        <v>399</v>
      </c>
      <c r="BH79" s="41"/>
      <c r="BI79" s="208"/>
      <c r="BL79" s="140" t="s">
        <v>415</v>
      </c>
      <c r="BM79" s="140" t="s">
        <v>425</v>
      </c>
      <c r="BN79" s="140" t="s">
        <v>424</v>
      </c>
      <c r="BO79" s="140" t="s">
        <v>406</v>
      </c>
      <c r="BP79" s="140" t="s">
        <v>407</v>
      </c>
    </row>
    <row r="80" spans="1:94" x14ac:dyDescent="0.2">
      <c r="F80" s="1"/>
      <c r="G80" s="1"/>
      <c r="Z80">
        <v>2016</v>
      </c>
      <c r="AA80" s="80">
        <v>0.85450000000000004</v>
      </c>
      <c r="AK80" s="205"/>
      <c r="AL80" s="194"/>
      <c r="AU80" s="181" t="s">
        <v>263</v>
      </c>
      <c r="AV80" s="188">
        <v>0.28399999999999997</v>
      </c>
      <c r="AW80" s="183">
        <v>2.3E-2</v>
      </c>
      <c r="AX80" s="182">
        <f>AT70</f>
        <v>0.32258064516129031</v>
      </c>
      <c r="AY80" s="183">
        <f>AT71</f>
        <v>3.2258064516129031E-2</v>
      </c>
      <c r="BK80" s="9" t="s">
        <v>412</v>
      </c>
      <c r="BL80" s="153">
        <f>BL73*BJ75</f>
        <v>19393.297177721</v>
      </c>
      <c r="BM80" s="153">
        <f>BM73*BJ75</f>
        <v>1131.7478754062142</v>
      </c>
      <c r="BN80" s="153">
        <f>BN73*BJ75</f>
        <v>1618.8423136280687</v>
      </c>
      <c r="BO80" s="153">
        <f>BO73*BJ75</f>
        <v>659.02643672207876</v>
      </c>
      <c r="BP80" s="153">
        <f>BP73*BJ75</f>
        <v>0.48083219802575128</v>
      </c>
      <c r="BV80" s="166" t="s">
        <v>396</v>
      </c>
      <c r="BW80" s="167" t="s">
        <v>391</v>
      </c>
      <c r="BX80" s="168" t="s">
        <v>331</v>
      </c>
    </row>
    <row r="81" spans="6:76" x14ac:dyDescent="0.2">
      <c r="F81" s="1"/>
      <c r="G81" s="1"/>
      <c r="AE81" s="9" t="s">
        <v>317</v>
      </c>
      <c r="AF81" s="6">
        <f>AN76*1039</f>
        <v>336122.03498557012</v>
      </c>
      <c r="AG81" s="9">
        <f>(AF81*2000)/55</f>
        <v>12222619.454020733</v>
      </c>
      <c r="AK81" s="205"/>
      <c r="AU81" s="177" t="s">
        <v>264</v>
      </c>
      <c r="AV81" s="189">
        <v>0.28399999999999997</v>
      </c>
      <c r="AW81" s="174">
        <v>2.3E-2</v>
      </c>
      <c r="AX81" s="179">
        <f>AU70</f>
        <v>0.37096774193548387</v>
      </c>
      <c r="AY81" s="174">
        <f>AU71</f>
        <v>0</v>
      </c>
      <c r="BV81" s="125" t="s">
        <v>392</v>
      </c>
      <c r="BW81" s="162">
        <f>BU66</f>
        <v>19.100000000000001</v>
      </c>
      <c r="BX81" s="163" t="s">
        <v>395</v>
      </c>
    </row>
    <row r="82" spans="6:76" x14ac:dyDescent="0.2">
      <c r="F82" s="1"/>
      <c r="G82" s="1"/>
      <c r="AE82" s="9" t="s">
        <v>420</v>
      </c>
      <c r="AF82" s="9">
        <v>77833808</v>
      </c>
      <c r="AK82" s="205"/>
      <c r="AU82" s="177" t="s">
        <v>265</v>
      </c>
      <c r="AV82" s="189">
        <v>0.35399999999999998</v>
      </c>
      <c r="AW82" s="174">
        <v>3.1E-2</v>
      </c>
      <c r="AX82" s="179">
        <f>AV70</f>
        <v>0.54838709677419351</v>
      </c>
      <c r="AY82" s="174">
        <f>AV71</f>
        <v>3.2258064516129031E-2</v>
      </c>
      <c r="BV82" s="125" t="s">
        <v>393</v>
      </c>
      <c r="BW82" s="162">
        <v>17.91</v>
      </c>
      <c r="BX82" s="163">
        <f>BX67</f>
        <v>2466.37</v>
      </c>
    </row>
    <row r="83" spans="6:76" ht="16" thickBot="1" x14ac:dyDescent="0.25">
      <c r="AE83" s="41"/>
      <c r="AG83" s="149">
        <f>AF81/AF82</f>
        <v>4.3184580534151706E-3</v>
      </c>
      <c r="AK83" s="205"/>
      <c r="AU83" s="177" t="s">
        <v>266</v>
      </c>
      <c r="AV83" s="189">
        <v>8.2000000000000003E-2</v>
      </c>
      <c r="AW83" s="174">
        <v>3.5000000000000003E-2</v>
      </c>
      <c r="AX83" s="179">
        <f>AW70</f>
        <v>0.17741935483870969</v>
      </c>
      <c r="AY83" s="174">
        <f>AW71</f>
        <v>0</v>
      </c>
      <c r="BV83" s="109" t="s">
        <v>394</v>
      </c>
      <c r="BW83" s="164">
        <f>BY66</f>
        <v>8.8333333333333339</v>
      </c>
      <c r="BX83" s="165">
        <f>BZ67</f>
        <v>12624.35</v>
      </c>
    </row>
    <row r="84" spans="6:76" x14ac:dyDescent="0.2">
      <c r="AE84" s="41" t="s">
        <v>419</v>
      </c>
      <c r="AK84" s="205"/>
      <c r="AU84" s="177" t="s">
        <v>267</v>
      </c>
      <c r="AV84" s="189">
        <v>0.53700000000000003</v>
      </c>
      <c r="AW84" s="174">
        <v>2.7E-2</v>
      </c>
      <c r="AX84" s="179">
        <f>AX70</f>
        <v>0.64516129032258063</v>
      </c>
      <c r="AY84" s="174">
        <f>AX71</f>
        <v>1.6129032258064516E-2</v>
      </c>
    </row>
    <row r="85" spans="6:76" x14ac:dyDescent="0.2">
      <c r="AD85" s="8">
        <v>1995</v>
      </c>
      <c r="AE85" s="207">
        <v>32690000</v>
      </c>
      <c r="AK85" s="41"/>
      <c r="AN85" s="206"/>
      <c r="AU85" s="177" t="s">
        <v>268</v>
      </c>
      <c r="AV85" s="189">
        <v>0.183</v>
      </c>
      <c r="AW85" s="174">
        <v>3.9E-2</v>
      </c>
      <c r="AX85" s="179">
        <f>AY70</f>
        <v>0.24193548387096775</v>
      </c>
      <c r="AY85" s="174">
        <f>AY71</f>
        <v>0</v>
      </c>
    </row>
    <row r="86" spans="6:76" x14ac:dyDescent="0.2">
      <c r="AD86" s="8">
        <v>1998</v>
      </c>
      <c r="AE86" s="153">
        <v>40484000</v>
      </c>
      <c r="AK86" s="41"/>
      <c r="AU86" s="177" t="s">
        <v>269</v>
      </c>
      <c r="AV86" s="189">
        <v>8.8999999999999996E-2</v>
      </c>
      <c r="AW86" s="174">
        <v>4.7E-2</v>
      </c>
      <c r="AX86" s="179">
        <f>AZ70</f>
        <v>0.16129032258064516</v>
      </c>
      <c r="AY86" s="174">
        <f>AZ71</f>
        <v>6.4516129032258063E-2</v>
      </c>
    </row>
    <row r="87" spans="6:76" x14ac:dyDescent="0.2">
      <c r="U87" t="s">
        <v>332</v>
      </c>
      <c r="V87" t="s">
        <v>333</v>
      </c>
      <c r="AD87" s="8">
        <v>2016</v>
      </c>
      <c r="AE87" s="153">
        <f>AG81</f>
        <v>12222619.454020733</v>
      </c>
      <c r="AU87" s="177" t="s">
        <v>270</v>
      </c>
      <c r="AV87" s="189" t="s">
        <v>400</v>
      </c>
      <c r="AW87" s="174" t="s">
        <v>400</v>
      </c>
      <c r="AX87" s="179">
        <f>BA70</f>
        <v>0.11290322580645161</v>
      </c>
      <c r="AY87" s="174">
        <f>BA71</f>
        <v>1.6129032258064516E-2</v>
      </c>
    </row>
    <row r="88" spans="6:76" x14ac:dyDescent="0.2">
      <c r="T88">
        <v>1995</v>
      </c>
      <c r="U88" s="151">
        <v>24.18</v>
      </c>
      <c r="V88" s="151">
        <v>39.71</v>
      </c>
      <c r="AU88" s="177" t="s">
        <v>271</v>
      </c>
      <c r="AV88" s="189">
        <v>0.29599999999999999</v>
      </c>
      <c r="AW88" s="174">
        <v>7.0000000000000007E-2</v>
      </c>
      <c r="AX88" s="179">
        <f>BB70</f>
        <v>0.45161290322580644</v>
      </c>
      <c r="AY88" s="174">
        <f>BB71</f>
        <v>0</v>
      </c>
    </row>
    <row r="89" spans="6:76" ht="16" thickBot="1" x14ac:dyDescent="0.25">
      <c r="M89" s="1"/>
      <c r="T89">
        <v>1998</v>
      </c>
      <c r="U89" s="151">
        <v>16.84</v>
      </c>
      <c r="V89" s="151">
        <v>25.72</v>
      </c>
      <c r="AU89" s="178" t="s">
        <v>364</v>
      </c>
      <c r="AV89" s="190">
        <v>0.27</v>
      </c>
      <c r="AW89" s="175">
        <v>0.13</v>
      </c>
      <c r="AX89" s="180">
        <f>BC74</f>
        <v>0.37096774193548387</v>
      </c>
      <c r="AY89" s="175">
        <f>BC75</f>
        <v>1.6129032258064516E-2</v>
      </c>
    </row>
    <row r="90" spans="6:76" x14ac:dyDescent="0.2">
      <c r="M90" s="1"/>
      <c r="T90">
        <v>2016</v>
      </c>
      <c r="U90" s="151">
        <f>T66</f>
        <v>42.876666666666665</v>
      </c>
      <c r="V90" s="151">
        <f>T66</f>
        <v>42.876666666666665</v>
      </c>
    </row>
    <row r="91" spans="6:76" x14ac:dyDescent="0.2">
      <c r="M91" s="1"/>
    </row>
    <row r="92" spans="6:76" x14ac:dyDescent="0.2">
      <c r="BJ92" s="153"/>
      <c r="BP92" s="153"/>
    </row>
    <row r="93" spans="6:76" x14ac:dyDescent="0.2">
      <c r="BJ93" s="153"/>
      <c r="BP93" s="153"/>
    </row>
    <row r="94" spans="6:76" x14ac:dyDescent="0.2">
      <c r="AF94" s="149"/>
      <c r="AG94" s="153"/>
      <c r="AH94" s="153"/>
      <c r="BJ94" s="153"/>
      <c r="BP94" s="153"/>
    </row>
    <row r="95" spans="6:76" x14ac:dyDescent="0.2">
      <c r="AF95" s="149"/>
      <c r="AG95" s="153"/>
      <c r="AH95" s="153"/>
    </row>
    <row r="96" spans="6:76" x14ac:dyDescent="0.2">
      <c r="AF96" s="149"/>
      <c r="AG96" s="153"/>
      <c r="AH96" s="153"/>
    </row>
    <row r="103" spans="49:68" x14ac:dyDescent="0.2">
      <c r="BO103" s="9">
        <v>1995</v>
      </c>
      <c r="BP103" s="153">
        <v>9109</v>
      </c>
    </row>
    <row r="104" spans="49:68" x14ac:dyDescent="0.2">
      <c r="BO104" s="9">
        <v>1998</v>
      </c>
      <c r="BP104" s="153">
        <v>11834</v>
      </c>
    </row>
    <row r="105" spans="49:68" x14ac:dyDescent="0.2">
      <c r="BO105" s="9">
        <v>2016</v>
      </c>
      <c r="BP105" s="153">
        <v>22803</v>
      </c>
    </row>
    <row r="111" spans="49:68" x14ac:dyDescent="0.2">
      <c r="AW111">
        <v>1095</v>
      </c>
    </row>
    <row r="112" spans="49:68" x14ac:dyDescent="0.2">
      <c r="AX112" t="s">
        <v>401</v>
      </c>
      <c r="AY112">
        <v>11834</v>
      </c>
    </row>
    <row r="113" spans="50:66" x14ac:dyDescent="0.2">
      <c r="AX113" t="s">
        <v>402</v>
      </c>
      <c r="AY113">
        <v>0.27</v>
      </c>
      <c r="BI113" s="149"/>
      <c r="BJ113" s="153"/>
      <c r="BK113" s="153"/>
    </row>
    <row r="114" spans="50:66" x14ac:dyDescent="0.2">
      <c r="AX114">
        <f>AW111*AY112*AY113</f>
        <v>3498722.1</v>
      </c>
      <c r="BI114" s="149"/>
      <c r="BK114" s="153"/>
      <c r="BM114" s="41"/>
    </row>
    <row r="115" spans="50:66" x14ac:dyDescent="0.2">
      <c r="BI115" s="149"/>
      <c r="BJ115" s="153"/>
      <c r="BK115" s="153"/>
    </row>
    <row r="120" spans="50:66" x14ac:dyDescent="0.2">
      <c r="AY120" s="1">
        <v>3560000</v>
      </c>
    </row>
    <row r="124" spans="50:66" x14ac:dyDescent="0.2">
      <c r="BM124" s="9">
        <v>1995</v>
      </c>
      <c r="BN124" s="153">
        <v>619323</v>
      </c>
    </row>
    <row r="125" spans="50:66" x14ac:dyDescent="0.2">
      <c r="BM125" s="9">
        <v>1998</v>
      </c>
      <c r="BN125" s="153">
        <v>3560000</v>
      </c>
    </row>
    <row r="126" spans="50:66" x14ac:dyDescent="0.2">
      <c r="BM126" s="9">
        <v>2016</v>
      </c>
      <c r="BN126" s="153">
        <f>BP105*1039</f>
        <v>23692317</v>
      </c>
    </row>
    <row r="144" spans="64:65" x14ac:dyDescent="0.2">
      <c r="BL144" s="9" t="s">
        <v>427</v>
      </c>
      <c r="BM144" s="9" t="s">
        <v>428</v>
      </c>
    </row>
    <row r="145" spans="63:70" x14ac:dyDescent="0.2">
      <c r="BK145" s="9">
        <v>1995</v>
      </c>
      <c r="BL145" s="153">
        <v>5887300</v>
      </c>
      <c r="BM145" s="153">
        <v>32690000</v>
      </c>
    </row>
    <row r="146" spans="63:70" x14ac:dyDescent="0.2">
      <c r="BK146" s="9">
        <v>1998</v>
      </c>
      <c r="BL146" s="153">
        <v>15904000</v>
      </c>
      <c r="BM146" s="153">
        <v>40484000</v>
      </c>
      <c r="BP146" s="9" t="s">
        <v>427</v>
      </c>
      <c r="BQ146" s="9" t="s">
        <v>428</v>
      </c>
    </row>
    <row r="147" spans="63:70" x14ac:dyDescent="0.2">
      <c r="BK147" s="9">
        <v>2016</v>
      </c>
      <c r="BL147" s="153">
        <f>(BN149*2000)/55</f>
        <v>24899217.009245083</v>
      </c>
      <c r="BM147" s="153">
        <v>12222619.454020733</v>
      </c>
      <c r="BO147" s="9">
        <v>1995</v>
      </c>
      <c r="BP147" s="9">
        <v>5887300</v>
      </c>
      <c r="BQ147" s="9">
        <v>32690000</v>
      </c>
      <c r="BR147" s="10">
        <f>SUM(BP147:BQ147)</f>
        <v>38577300</v>
      </c>
    </row>
    <row r="148" spans="63:70" x14ac:dyDescent="0.2">
      <c r="BN148" s="9" t="s">
        <v>331</v>
      </c>
      <c r="BO148" s="9">
        <v>1998</v>
      </c>
      <c r="BP148" s="9">
        <v>15904000</v>
      </c>
      <c r="BQ148" s="9">
        <v>40484000</v>
      </c>
      <c r="BR148" s="10">
        <f>SUM(BP148:BQ148)</f>
        <v>56388000</v>
      </c>
    </row>
    <row r="149" spans="63:70" x14ac:dyDescent="0.2">
      <c r="BM149" s="9" t="s">
        <v>426</v>
      </c>
      <c r="BN149" s="9">
        <f>(BO80*1039)</f>
        <v>684728.4677542398</v>
      </c>
      <c r="BO149" s="9">
        <v>2016</v>
      </c>
      <c r="BP149" s="9">
        <v>24899217.009245083</v>
      </c>
      <c r="BQ149" s="9">
        <v>12222619.454020733</v>
      </c>
      <c r="BR149" s="10">
        <f>SUM(BP149:BQ149)</f>
        <v>37121836.463265814</v>
      </c>
    </row>
    <row r="150" spans="63:70" x14ac:dyDescent="0.2">
      <c r="BO150" s="9">
        <v>1995</v>
      </c>
      <c r="BP150" s="9">
        <f>BP147/BR147</f>
        <v>0.1526104729983695</v>
      </c>
      <c r="BQ150" s="9">
        <f>BQ147/BR147</f>
        <v>0.8473895270016305</v>
      </c>
    </row>
    <row r="151" spans="63:70" x14ac:dyDescent="0.2">
      <c r="BO151" s="9">
        <v>1998</v>
      </c>
      <c r="BP151" s="9">
        <f>BP148/BR148</f>
        <v>0.28204582535291195</v>
      </c>
    </row>
    <row r="152" spans="63:70" x14ac:dyDescent="0.2">
      <c r="BO152" s="9">
        <v>2016</v>
      </c>
      <c r="BP152" s="9">
        <f>BP149/BR149</f>
        <v>0.67074313615610814</v>
      </c>
    </row>
  </sheetData>
  <autoFilter ref="A2:CR82" xr:uid="{00000000-0009-0000-0000-000001000000}"/>
  <mergeCells count="14">
    <mergeCell ref="AV78:AW78"/>
    <mergeCell ref="AX78:AY78"/>
    <mergeCell ref="AU77:AY77"/>
    <mergeCell ref="BU1:CB1"/>
    <mergeCell ref="CF1:CG1"/>
    <mergeCell ref="CH1:CI1"/>
    <mergeCell ref="CJ1:CO1"/>
    <mergeCell ref="F1:H1"/>
    <mergeCell ref="K1:S1"/>
    <mergeCell ref="T1:Y1"/>
    <mergeCell ref="AA1:AB1"/>
    <mergeCell ref="AD1:AO1"/>
    <mergeCell ref="AT1:BC1"/>
    <mergeCell ref="BG1:BR1"/>
  </mergeCells>
  <pageMargins left="0.7" right="0.7" top="0.75" bottom="0.75" header="0.3" footer="0.3"/>
  <pageSetup orientation="portrait"/>
  <drawing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N15"/>
  <sheetViews>
    <sheetView workbookViewId="0">
      <selection activeCell="J9" sqref="J9"/>
    </sheetView>
  </sheetViews>
  <sheetFormatPr baseColWidth="10" defaultColWidth="8.83203125" defaultRowHeight="15" x14ac:dyDescent="0.2"/>
  <sheetData>
    <row r="1" spans="1:92" ht="32.5" customHeight="1" thickBot="1" x14ac:dyDescent="0.25">
      <c r="A1" s="67"/>
      <c r="E1" s="209" t="s">
        <v>231</v>
      </c>
      <c r="F1" s="210"/>
      <c r="G1" s="209" t="s">
        <v>233</v>
      </c>
      <c r="H1" s="211"/>
      <c r="I1" s="211"/>
      <c r="J1" s="211"/>
      <c r="K1" s="211"/>
      <c r="L1" s="211"/>
      <c r="M1" s="211"/>
      <c r="N1" s="211"/>
      <c r="O1" s="210"/>
      <c r="P1" s="209" t="s">
        <v>242</v>
      </c>
      <c r="Q1" s="211"/>
      <c r="R1" s="211"/>
      <c r="S1" s="211"/>
      <c r="T1" s="211"/>
      <c r="U1" s="210"/>
      <c r="V1" s="60" t="s">
        <v>248</v>
      </c>
      <c r="W1" s="209" t="s">
        <v>249</v>
      </c>
      <c r="X1" s="210"/>
      <c r="Y1" s="112"/>
      <c r="Z1" s="209" t="s">
        <v>276</v>
      </c>
      <c r="AA1" s="211"/>
      <c r="AB1" s="211"/>
      <c r="AC1" s="211"/>
      <c r="AD1" s="211"/>
      <c r="AE1" s="211"/>
      <c r="AF1" s="211"/>
      <c r="AG1" s="211"/>
      <c r="AH1" s="211"/>
      <c r="AI1" s="211"/>
      <c r="AJ1" s="211"/>
      <c r="AK1" s="211"/>
      <c r="AL1" s="154"/>
      <c r="AM1" s="155"/>
      <c r="AN1" s="154"/>
      <c r="AO1" s="112"/>
      <c r="AP1" s="209" t="s">
        <v>277</v>
      </c>
      <c r="AQ1" s="211"/>
      <c r="AR1" s="211"/>
      <c r="AS1" s="211"/>
      <c r="AT1" s="211"/>
      <c r="AU1" s="211"/>
      <c r="AV1" s="211"/>
      <c r="AW1" s="211"/>
      <c r="AX1" s="211"/>
      <c r="AY1" s="210"/>
      <c r="AZ1" s="129"/>
      <c r="BA1" s="60" t="s">
        <v>278</v>
      </c>
      <c r="BB1" s="132"/>
      <c r="BC1" s="212" t="s">
        <v>275</v>
      </c>
      <c r="BD1" s="213"/>
      <c r="BE1" s="213"/>
      <c r="BF1" s="213"/>
      <c r="BG1" s="213"/>
      <c r="BH1" s="213"/>
      <c r="BI1" s="213"/>
      <c r="BJ1" s="213"/>
      <c r="BK1" s="213"/>
      <c r="BL1" s="213"/>
      <c r="BM1" s="213"/>
      <c r="BN1" s="214"/>
      <c r="BO1" s="129"/>
      <c r="BP1" s="38" t="s">
        <v>315</v>
      </c>
      <c r="BQ1" s="209" t="s">
        <v>281</v>
      </c>
      <c r="BR1" s="211"/>
      <c r="BS1" s="211"/>
      <c r="BT1" s="211"/>
      <c r="BU1" s="211"/>
      <c r="BV1" s="211"/>
      <c r="BW1" s="211"/>
      <c r="BX1" s="211"/>
      <c r="BY1" s="154"/>
      <c r="BZ1" s="154"/>
      <c r="CA1" s="112"/>
      <c r="CB1" s="209" t="s">
        <v>288</v>
      </c>
      <c r="CC1" s="210"/>
      <c r="CD1" s="209" t="s">
        <v>289</v>
      </c>
      <c r="CE1" s="210"/>
      <c r="CF1" s="209" t="s">
        <v>290</v>
      </c>
      <c r="CG1" s="211"/>
      <c r="CH1" s="211"/>
      <c r="CI1" s="211"/>
      <c r="CJ1" s="211"/>
      <c r="CK1" s="210"/>
    </row>
    <row r="2" spans="1:92" ht="66.5" customHeight="1" thickBot="1" x14ac:dyDescent="0.25">
      <c r="A2" s="70" t="s">
        <v>150</v>
      </c>
      <c r="B2" s="71" t="s">
        <v>1</v>
      </c>
      <c r="C2" s="71" t="s">
        <v>2</v>
      </c>
      <c r="D2" s="71" t="s">
        <v>230</v>
      </c>
      <c r="E2" s="72" t="s">
        <v>232</v>
      </c>
      <c r="F2" s="73" t="s">
        <v>294</v>
      </c>
      <c r="G2" s="71" t="s">
        <v>234</v>
      </c>
      <c r="H2" s="74" t="s">
        <v>235</v>
      </c>
      <c r="I2" s="74" t="s">
        <v>236</v>
      </c>
      <c r="J2" s="74" t="s">
        <v>237</v>
      </c>
      <c r="K2" s="74" t="s">
        <v>238</v>
      </c>
      <c r="L2" s="74" t="s">
        <v>239</v>
      </c>
      <c r="M2" s="74" t="s">
        <v>240</v>
      </c>
      <c r="N2" s="74" t="s">
        <v>241</v>
      </c>
      <c r="O2" s="75" t="s">
        <v>291</v>
      </c>
      <c r="P2" s="76" t="s">
        <v>243</v>
      </c>
      <c r="Q2" s="74" t="s">
        <v>244</v>
      </c>
      <c r="R2" s="74" t="s">
        <v>245</v>
      </c>
      <c r="S2" s="74" t="s">
        <v>246</v>
      </c>
      <c r="T2" s="74" t="s">
        <v>296</v>
      </c>
      <c r="U2" s="75" t="s">
        <v>295</v>
      </c>
      <c r="V2" s="77" t="s">
        <v>247</v>
      </c>
      <c r="W2" s="72" t="s">
        <v>250</v>
      </c>
      <c r="X2" s="71" t="s">
        <v>18</v>
      </c>
      <c r="Y2" s="113"/>
      <c r="Z2" s="72" t="s">
        <v>251</v>
      </c>
      <c r="AA2" s="71" t="s">
        <v>252</v>
      </c>
      <c r="AB2" s="71" t="s">
        <v>253</v>
      </c>
      <c r="AC2" s="71" t="s">
        <v>254</v>
      </c>
      <c r="AD2" s="71" t="s">
        <v>255</v>
      </c>
      <c r="AE2" s="71" t="s">
        <v>256</v>
      </c>
      <c r="AF2" s="71" t="s">
        <v>257</v>
      </c>
      <c r="AG2" s="71" t="s">
        <v>258</v>
      </c>
      <c r="AH2" s="71" t="s">
        <v>259</v>
      </c>
      <c r="AI2" s="71" t="s">
        <v>260</v>
      </c>
      <c r="AJ2" s="71" t="s">
        <v>261</v>
      </c>
      <c r="AK2" s="71" t="s">
        <v>262</v>
      </c>
      <c r="AL2" s="74" t="s">
        <v>298</v>
      </c>
      <c r="AM2" s="75" t="s">
        <v>299</v>
      </c>
      <c r="AN2" s="74"/>
      <c r="AO2" s="127"/>
      <c r="AP2" s="72" t="s">
        <v>263</v>
      </c>
      <c r="AQ2" s="71" t="s">
        <v>264</v>
      </c>
      <c r="AR2" s="71" t="s">
        <v>265</v>
      </c>
      <c r="AS2" s="71" t="s">
        <v>266</v>
      </c>
      <c r="AT2" s="71" t="s">
        <v>267</v>
      </c>
      <c r="AU2" s="71" t="s">
        <v>268</v>
      </c>
      <c r="AV2" s="71" t="s">
        <v>269</v>
      </c>
      <c r="AW2" s="71" t="s">
        <v>270</v>
      </c>
      <c r="AX2" s="71" t="s">
        <v>271</v>
      </c>
      <c r="AY2" s="71" t="s">
        <v>272</v>
      </c>
      <c r="AZ2" s="113"/>
      <c r="BA2" s="78" t="s">
        <v>273</v>
      </c>
      <c r="BB2" s="133"/>
      <c r="BC2" s="72" t="s">
        <v>274</v>
      </c>
      <c r="BD2" s="71" t="s">
        <v>252</v>
      </c>
      <c r="BE2" s="71" t="s">
        <v>253</v>
      </c>
      <c r="BF2" s="71" t="s">
        <v>279</v>
      </c>
      <c r="BG2" s="71" t="s">
        <v>256</v>
      </c>
      <c r="BH2" s="71" t="s">
        <v>257</v>
      </c>
      <c r="BI2" s="71" t="s">
        <v>258</v>
      </c>
      <c r="BJ2" s="71" t="s">
        <v>259</v>
      </c>
      <c r="BK2" s="71" t="s">
        <v>261</v>
      </c>
      <c r="BL2" s="71" t="s">
        <v>262</v>
      </c>
      <c r="BM2" s="74" t="s">
        <v>300</v>
      </c>
      <c r="BN2" s="75" t="s">
        <v>301</v>
      </c>
      <c r="BO2" s="136"/>
      <c r="BP2" s="78" t="s">
        <v>280</v>
      </c>
      <c r="BQ2" s="72" t="s">
        <v>282</v>
      </c>
      <c r="BR2" s="71" t="s">
        <v>283</v>
      </c>
      <c r="BS2" s="71" t="s">
        <v>284</v>
      </c>
      <c r="BT2" s="71" t="s">
        <v>285</v>
      </c>
      <c r="BU2" s="71" t="s">
        <v>286</v>
      </c>
      <c r="BV2" s="71" t="s">
        <v>287</v>
      </c>
      <c r="BW2" s="71" t="s">
        <v>59</v>
      </c>
      <c r="BX2" s="71" t="s">
        <v>60</v>
      </c>
      <c r="BY2" s="71" t="s">
        <v>303</v>
      </c>
      <c r="BZ2" s="74" t="s">
        <v>302</v>
      </c>
      <c r="CA2" s="128"/>
      <c r="CB2" s="63" t="s">
        <v>61</v>
      </c>
      <c r="CC2" s="73" t="s">
        <v>62</v>
      </c>
      <c r="CD2" s="72" t="s">
        <v>63</v>
      </c>
      <c r="CE2" s="71" t="s">
        <v>64</v>
      </c>
      <c r="CF2" s="72" t="s">
        <v>65</v>
      </c>
      <c r="CG2" s="71" t="s">
        <v>66</v>
      </c>
      <c r="CH2" s="71" t="s">
        <v>67</v>
      </c>
      <c r="CI2" s="71" t="s">
        <v>68</v>
      </c>
      <c r="CJ2" s="71" t="s">
        <v>69</v>
      </c>
      <c r="CK2" s="73" t="s">
        <v>70</v>
      </c>
      <c r="CL2" s="71" t="s">
        <v>71</v>
      </c>
      <c r="CM2" s="71" t="s">
        <v>72</v>
      </c>
      <c r="CN2" s="71" t="s">
        <v>73</v>
      </c>
    </row>
    <row r="3" spans="1:92" x14ac:dyDescent="0.2">
      <c r="A3" s="68">
        <v>163</v>
      </c>
      <c r="B3" t="s">
        <v>75</v>
      </c>
      <c r="C3" t="s">
        <v>157</v>
      </c>
      <c r="D3" t="s">
        <v>339</v>
      </c>
      <c r="E3" s="8">
        <v>283240</v>
      </c>
      <c r="F3" s="10"/>
      <c r="G3" s="9">
        <v>0</v>
      </c>
      <c r="H3" s="9">
        <v>100</v>
      </c>
      <c r="I3" s="9">
        <v>0</v>
      </c>
      <c r="J3" s="9">
        <v>0</v>
      </c>
      <c r="K3" s="9">
        <v>0</v>
      </c>
      <c r="L3" s="9">
        <v>283240</v>
      </c>
      <c r="M3" s="9">
        <v>0</v>
      </c>
      <c r="N3" s="9">
        <v>0</v>
      </c>
      <c r="O3" s="10" t="s">
        <v>293</v>
      </c>
      <c r="P3" s="8">
        <v>90</v>
      </c>
      <c r="Q3" s="41"/>
      <c r="R3" s="41"/>
      <c r="S3" s="41"/>
      <c r="T3" s="9" t="s">
        <v>297</v>
      </c>
      <c r="U3" s="10" t="s">
        <v>293</v>
      </c>
      <c r="V3" s="35" t="s">
        <v>74</v>
      </c>
      <c r="W3" s="8"/>
      <c r="X3" s="9"/>
      <c r="Y3" s="114"/>
      <c r="Z3" s="8"/>
      <c r="AA3" s="9"/>
      <c r="AB3" s="9"/>
      <c r="AC3" s="9"/>
      <c r="AD3" s="9"/>
      <c r="AE3" s="9"/>
      <c r="AF3" s="9"/>
      <c r="AG3" s="9"/>
      <c r="AH3" s="9"/>
      <c r="AI3" s="9"/>
      <c r="AJ3" s="9"/>
      <c r="AK3" s="9"/>
      <c r="AL3" s="9" t="s">
        <v>292</v>
      </c>
      <c r="AM3" s="10"/>
      <c r="AN3" s="9"/>
      <c r="AO3" s="114"/>
      <c r="AP3" s="8"/>
      <c r="AQ3" s="9"/>
      <c r="AR3" s="9" t="s">
        <v>147</v>
      </c>
      <c r="AS3" s="9"/>
      <c r="AT3" s="9"/>
      <c r="AU3" s="9"/>
      <c r="AV3" s="9"/>
      <c r="AW3" s="9"/>
      <c r="AX3" s="9"/>
      <c r="AY3" s="9"/>
      <c r="AZ3" s="114"/>
      <c r="BA3" s="35" t="s">
        <v>152</v>
      </c>
      <c r="BB3" s="115"/>
      <c r="BC3" s="8"/>
      <c r="BD3" s="9"/>
      <c r="BE3" s="9"/>
      <c r="BF3" s="9"/>
      <c r="BG3" s="9"/>
      <c r="BH3" s="9"/>
      <c r="BI3" s="9"/>
      <c r="BJ3" s="9"/>
      <c r="BK3" s="9"/>
      <c r="BL3" s="9"/>
      <c r="BM3" s="9" t="s">
        <v>292</v>
      </c>
      <c r="BN3" s="10"/>
      <c r="BO3" s="137"/>
      <c r="BP3" s="35"/>
      <c r="BQ3" s="8"/>
      <c r="BR3" s="9"/>
      <c r="BS3" s="9"/>
      <c r="BT3" s="9"/>
      <c r="BU3" s="9"/>
      <c r="BV3" s="9"/>
      <c r="BW3" s="9"/>
      <c r="BX3" s="9"/>
      <c r="BY3" s="9"/>
      <c r="BZ3" s="9" t="s">
        <v>292</v>
      </c>
      <c r="CA3" s="114"/>
      <c r="CB3" s="8"/>
      <c r="CC3" s="10"/>
      <c r="CD3" s="8"/>
      <c r="CE3" s="9"/>
      <c r="CF3" s="8"/>
      <c r="CG3" s="9"/>
      <c r="CH3" s="9"/>
      <c r="CI3" s="9"/>
      <c r="CJ3" s="9"/>
      <c r="CK3" s="10"/>
      <c r="CL3" t="s">
        <v>158</v>
      </c>
    </row>
    <row r="4" spans="1:92" x14ac:dyDescent="0.2">
      <c r="A4" s="68">
        <v>168</v>
      </c>
      <c r="B4" t="s">
        <v>75</v>
      </c>
      <c r="C4" t="s">
        <v>95</v>
      </c>
      <c r="D4" t="s">
        <v>339</v>
      </c>
      <c r="E4" s="8">
        <v>100000</v>
      </c>
      <c r="F4" s="10"/>
      <c r="G4" s="9">
        <v>0</v>
      </c>
      <c r="H4" s="9">
        <v>0</v>
      </c>
      <c r="I4" s="9">
        <v>0</v>
      </c>
      <c r="J4" s="9">
        <v>0</v>
      </c>
      <c r="K4" s="9">
        <v>0</v>
      </c>
      <c r="L4" s="9">
        <v>0</v>
      </c>
      <c r="M4" s="9">
        <v>0</v>
      </c>
      <c r="N4" s="9">
        <v>0</v>
      </c>
      <c r="O4" s="10" t="s">
        <v>293</v>
      </c>
      <c r="P4" s="8"/>
      <c r="Q4" s="9"/>
      <c r="R4" s="9"/>
      <c r="S4" s="9"/>
      <c r="T4" s="9"/>
      <c r="U4" s="10" t="s">
        <v>292</v>
      </c>
      <c r="V4" s="35" t="s">
        <v>74</v>
      </c>
      <c r="W4" s="8"/>
      <c r="X4" s="9"/>
      <c r="Y4" s="114"/>
      <c r="Z4" s="8"/>
      <c r="AA4" s="9"/>
      <c r="AB4" s="9"/>
      <c r="AC4" s="9"/>
      <c r="AD4" s="9"/>
      <c r="AE4" s="9"/>
      <c r="AF4" s="9"/>
      <c r="AG4" s="9"/>
      <c r="AH4" s="9"/>
      <c r="AI4" s="9"/>
      <c r="AJ4" s="9"/>
      <c r="AK4" s="9"/>
      <c r="AL4" s="9" t="s">
        <v>292</v>
      </c>
      <c r="AM4" s="10"/>
      <c r="AN4" s="9"/>
      <c r="AO4" s="114"/>
      <c r="AP4" s="8" t="s">
        <v>147</v>
      </c>
      <c r="AQ4" s="8" t="s">
        <v>147</v>
      </c>
      <c r="AR4" s="8" t="s">
        <v>147</v>
      </c>
      <c r="AS4" s="9"/>
      <c r="AT4" s="9"/>
      <c r="AU4" s="9"/>
      <c r="AV4" s="9"/>
      <c r="AW4" s="9"/>
      <c r="AX4" s="9"/>
      <c r="AY4" s="9"/>
      <c r="AZ4" s="114"/>
      <c r="BA4" s="35" t="s">
        <v>152</v>
      </c>
      <c r="BB4" s="115"/>
      <c r="BC4" s="8"/>
      <c r="BD4" s="9"/>
      <c r="BE4" s="9"/>
      <c r="BF4" s="9"/>
      <c r="BG4" s="9"/>
      <c r="BH4" s="9"/>
      <c r="BI4" s="9"/>
      <c r="BJ4" s="9"/>
      <c r="BK4" s="9"/>
      <c r="BL4" s="9"/>
      <c r="BM4" s="9" t="s">
        <v>292</v>
      </c>
      <c r="BN4" s="10"/>
      <c r="BO4" s="137"/>
      <c r="BP4" s="35"/>
      <c r="BQ4" s="8"/>
      <c r="BR4" s="9"/>
      <c r="BS4" s="9"/>
      <c r="BT4" s="9"/>
      <c r="BU4" s="9"/>
      <c r="BV4" s="9"/>
      <c r="BW4" s="9"/>
      <c r="BX4" s="9"/>
      <c r="BY4" s="9"/>
      <c r="BZ4" s="9" t="s">
        <v>292</v>
      </c>
      <c r="CA4" s="114"/>
      <c r="CB4" s="8"/>
      <c r="CC4" s="10"/>
      <c r="CD4" s="8"/>
      <c r="CE4" s="9"/>
      <c r="CF4" s="8"/>
      <c r="CG4" s="9"/>
      <c r="CH4" s="9"/>
      <c r="CI4" s="9"/>
      <c r="CJ4" s="9"/>
      <c r="CK4" s="10"/>
      <c r="CM4" t="s">
        <v>96</v>
      </c>
      <c r="CN4" t="s">
        <v>97</v>
      </c>
    </row>
    <row r="5" spans="1:92" x14ac:dyDescent="0.2">
      <c r="A5" s="68">
        <v>174</v>
      </c>
      <c r="B5" t="s">
        <v>141</v>
      </c>
      <c r="C5" t="s">
        <v>95</v>
      </c>
      <c r="D5" t="s">
        <v>339</v>
      </c>
      <c r="E5" s="8">
        <v>59040</v>
      </c>
      <c r="F5" s="10"/>
      <c r="G5" s="9">
        <v>0</v>
      </c>
      <c r="H5" s="9">
        <v>8.0030487804878057</v>
      </c>
      <c r="I5" s="9">
        <v>0</v>
      </c>
      <c r="J5" s="9">
        <v>91.996951219512198</v>
      </c>
      <c r="K5" s="9">
        <v>0</v>
      </c>
      <c r="L5" s="9">
        <v>4725.0000000000009</v>
      </c>
      <c r="M5" s="9">
        <v>0</v>
      </c>
      <c r="N5" s="9">
        <v>54315</v>
      </c>
      <c r="O5" s="10" t="s">
        <v>293</v>
      </c>
      <c r="P5" s="8"/>
      <c r="Q5" s="9"/>
      <c r="R5" s="9"/>
      <c r="S5" s="9"/>
      <c r="T5" s="9"/>
      <c r="U5" s="10" t="s">
        <v>292</v>
      </c>
      <c r="V5" s="35"/>
      <c r="W5" s="8"/>
      <c r="X5" s="9"/>
      <c r="Y5" s="114"/>
      <c r="Z5" s="8"/>
      <c r="AA5" s="9"/>
      <c r="AB5" s="9"/>
      <c r="AC5" s="9"/>
      <c r="AD5" s="9"/>
      <c r="AE5" s="9"/>
      <c r="AF5" s="9"/>
      <c r="AG5" s="9"/>
      <c r="AH5" s="9"/>
      <c r="AI5" s="9"/>
      <c r="AJ5" s="9"/>
      <c r="AK5" s="9"/>
      <c r="AL5" s="9" t="s">
        <v>292</v>
      </c>
      <c r="AM5" s="10"/>
      <c r="AN5" s="9"/>
      <c r="AO5" s="114"/>
      <c r="AP5" s="8" t="s">
        <v>147</v>
      </c>
      <c r="AQ5" s="9" t="s">
        <v>147</v>
      </c>
      <c r="AR5" s="9" t="s">
        <v>147</v>
      </c>
      <c r="AS5" s="9"/>
      <c r="AT5" s="9"/>
      <c r="AU5" s="9"/>
      <c r="AV5" s="9"/>
      <c r="AW5" s="9"/>
      <c r="AX5" s="9"/>
      <c r="AY5" s="9"/>
      <c r="AZ5" s="114"/>
      <c r="BA5" s="35" t="s">
        <v>152</v>
      </c>
      <c r="BB5" s="115"/>
      <c r="BC5" s="8"/>
      <c r="BD5" s="9"/>
      <c r="BE5" s="9"/>
      <c r="BF5" s="9"/>
      <c r="BG5" s="9"/>
      <c r="BH5" s="9"/>
      <c r="BI5" s="9"/>
      <c r="BJ5" s="9"/>
      <c r="BK5" s="9"/>
      <c r="BL5" s="9"/>
      <c r="BM5" s="9" t="s">
        <v>292</v>
      </c>
      <c r="BN5" s="10"/>
      <c r="BO5" s="137"/>
      <c r="BP5" s="35"/>
      <c r="BQ5" s="8"/>
      <c r="BR5" s="9"/>
      <c r="BS5" s="9"/>
      <c r="BT5" s="9"/>
      <c r="BU5" s="9"/>
      <c r="BV5" s="9"/>
      <c r="BW5" s="9"/>
      <c r="BX5" s="9"/>
      <c r="BY5" s="9"/>
      <c r="BZ5" s="9" t="s">
        <v>292</v>
      </c>
      <c r="CA5" s="114"/>
      <c r="CB5" s="8"/>
      <c r="CC5" s="10"/>
      <c r="CD5" s="8"/>
      <c r="CE5" s="9"/>
      <c r="CF5" s="8"/>
      <c r="CG5" s="9"/>
      <c r="CH5" s="9"/>
      <c r="CI5" s="9"/>
      <c r="CJ5" s="9"/>
      <c r="CK5" s="10"/>
      <c r="CL5" t="s">
        <v>159</v>
      </c>
      <c r="CM5" t="s">
        <v>160</v>
      </c>
      <c r="CN5" t="s">
        <v>161</v>
      </c>
    </row>
    <row r="6" spans="1:92" x14ac:dyDescent="0.2">
      <c r="A6" s="68">
        <v>652</v>
      </c>
      <c r="B6" t="s">
        <v>75</v>
      </c>
      <c r="C6" t="s">
        <v>98</v>
      </c>
      <c r="D6" t="s">
        <v>339</v>
      </c>
      <c r="E6" s="8">
        <v>4275</v>
      </c>
      <c r="F6" s="10"/>
      <c r="G6" s="9">
        <v>0</v>
      </c>
      <c r="H6" s="9">
        <v>100</v>
      </c>
      <c r="I6" s="9">
        <v>0</v>
      </c>
      <c r="J6" s="9">
        <v>0</v>
      </c>
      <c r="K6" s="9">
        <v>0</v>
      </c>
      <c r="L6" s="9">
        <v>4275</v>
      </c>
      <c r="M6" s="9">
        <v>0</v>
      </c>
      <c r="N6" s="9">
        <v>0</v>
      </c>
      <c r="O6" s="10" t="s">
        <v>293</v>
      </c>
      <c r="P6" s="8">
        <v>12.5</v>
      </c>
      <c r="Q6" s="9">
        <v>12.5</v>
      </c>
      <c r="R6" s="9">
        <v>12.5</v>
      </c>
      <c r="S6" s="9"/>
      <c r="T6" s="9" t="s">
        <v>297</v>
      </c>
      <c r="U6" s="10" t="s">
        <v>293</v>
      </c>
      <c r="V6" s="35" t="s">
        <v>75</v>
      </c>
      <c r="W6" s="8" t="s">
        <v>75</v>
      </c>
      <c r="X6" s="9"/>
      <c r="Y6" s="114"/>
      <c r="Z6" s="8"/>
      <c r="AA6" s="9"/>
      <c r="AB6" s="9"/>
      <c r="AC6" s="9"/>
      <c r="AD6" s="9"/>
      <c r="AE6" s="9"/>
      <c r="AF6" s="9"/>
      <c r="AG6" s="9"/>
      <c r="AH6" s="9"/>
      <c r="AI6" s="9"/>
      <c r="AJ6" s="9"/>
      <c r="AK6" s="9"/>
      <c r="AL6" s="9" t="s">
        <v>292</v>
      </c>
      <c r="AM6" s="10"/>
      <c r="AN6" s="9"/>
      <c r="AO6" s="114"/>
      <c r="AP6" s="8"/>
      <c r="AQ6" s="9"/>
      <c r="AR6" s="9"/>
      <c r="AS6" s="9"/>
      <c r="AT6" s="9"/>
      <c r="AU6" s="9"/>
      <c r="AV6" s="9"/>
      <c r="AW6" s="9"/>
      <c r="AX6" s="9"/>
      <c r="AY6" s="9"/>
      <c r="AZ6" s="114"/>
      <c r="BA6" s="35" t="s">
        <v>152</v>
      </c>
      <c r="BB6" s="115"/>
      <c r="BC6" s="8"/>
      <c r="BD6" s="9"/>
      <c r="BE6" s="9"/>
      <c r="BF6" s="9"/>
      <c r="BG6" s="9"/>
      <c r="BH6" s="9"/>
      <c r="BI6" s="9"/>
      <c r="BJ6" s="9"/>
      <c r="BK6" s="9"/>
      <c r="BL6" s="9"/>
      <c r="BM6" s="9" t="s">
        <v>292</v>
      </c>
      <c r="BN6" s="10"/>
      <c r="BO6" s="137"/>
      <c r="BP6" s="35"/>
      <c r="BQ6" s="8"/>
      <c r="BR6" s="9"/>
      <c r="BS6" s="9"/>
      <c r="BT6" s="9"/>
      <c r="BU6" s="9"/>
      <c r="BV6" s="9"/>
      <c r="BW6" s="9"/>
      <c r="BX6" s="9"/>
      <c r="BY6" s="9"/>
      <c r="BZ6" s="9" t="s">
        <v>292</v>
      </c>
      <c r="CA6" s="114"/>
      <c r="CB6" s="8"/>
      <c r="CC6" s="10"/>
      <c r="CD6" s="8"/>
      <c r="CE6" s="9"/>
      <c r="CF6" s="8"/>
      <c r="CG6" s="9"/>
      <c r="CH6" s="9"/>
      <c r="CI6" s="9"/>
      <c r="CJ6" s="9"/>
      <c r="CK6" s="10"/>
      <c r="CL6" t="s">
        <v>99</v>
      </c>
      <c r="CM6" t="s">
        <v>100</v>
      </c>
    </row>
    <row r="7" spans="1:92" x14ac:dyDescent="0.2">
      <c r="A7" s="68">
        <v>662</v>
      </c>
      <c r="B7" t="s">
        <v>141</v>
      </c>
      <c r="C7" t="s">
        <v>81</v>
      </c>
      <c r="D7" t="s">
        <v>339</v>
      </c>
      <c r="E7" s="8">
        <v>875.73</v>
      </c>
      <c r="F7" s="10"/>
      <c r="G7" s="9"/>
      <c r="H7" s="9"/>
      <c r="I7" s="9"/>
      <c r="J7" s="9"/>
      <c r="K7" s="9"/>
      <c r="L7" s="9"/>
      <c r="M7" s="9"/>
      <c r="N7" s="9"/>
      <c r="O7" s="10" t="s">
        <v>292</v>
      </c>
      <c r="P7" s="8"/>
      <c r="Q7" s="9"/>
      <c r="R7" s="9"/>
      <c r="S7" s="9"/>
      <c r="T7" s="9"/>
      <c r="U7" s="10" t="s">
        <v>292</v>
      </c>
      <c r="V7" s="35" t="s">
        <v>141</v>
      </c>
      <c r="W7" s="8" t="s">
        <v>152</v>
      </c>
      <c r="X7" s="9" t="s">
        <v>186</v>
      </c>
      <c r="Y7" s="114"/>
      <c r="Z7" s="8"/>
      <c r="AA7" s="9"/>
      <c r="AB7" s="9"/>
      <c r="AC7" s="9"/>
      <c r="AD7" s="9"/>
      <c r="AE7" s="9"/>
      <c r="AF7" s="9"/>
      <c r="AG7" s="9"/>
      <c r="AH7" s="9"/>
      <c r="AI7" s="9"/>
      <c r="AJ7" s="9"/>
      <c r="AK7" s="9"/>
      <c r="AL7" s="9" t="s">
        <v>292</v>
      </c>
      <c r="AM7" s="10"/>
      <c r="AN7" s="9"/>
      <c r="AO7" s="114"/>
      <c r="AP7" s="8"/>
      <c r="AQ7" s="9" t="s">
        <v>147</v>
      </c>
      <c r="AR7" s="9" t="s">
        <v>147</v>
      </c>
      <c r="AS7" s="9"/>
      <c r="AT7" s="9" t="s">
        <v>147</v>
      </c>
      <c r="AU7" s="9"/>
      <c r="AV7" s="9" t="s">
        <v>147</v>
      </c>
      <c r="AW7" s="9"/>
      <c r="AX7" s="9" t="s">
        <v>147</v>
      </c>
      <c r="AY7" s="9"/>
      <c r="AZ7" s="114"/>
      <c r="BA7" s="35" t="s">
        <v>75</v>
      </c>
      <c r="BB7" s="115"/>
      <c r="BC7" s="8"/>
      <c r="BD7" s="9"/>
      <c r="BE7" s="9"/>
      <c r="BF7" s="9"/>
      <c r="BG7" s="9"/>
      <c r="BH7" s="9"/>
      <c r="BI7" s="9"/>
      <c r="BJ7" s="9"/>
      <c r="BK7" s="9"/>
      <c r="BL7" s="9"/>
      <c r="BM7" s="9" t="s">
        <v>292</v>
      </c>
      <c r="BN7" s="10"/>
      <c r="BO7" s="137"/>
      <c r="BP7" s="35"/>
      <c r="BQ7" s="8"/>
      <c r="BR7" s="9"/>
      <c r="BS7" s="9"/>
      <c r="BT7" s="9"/>
      <c r="BU7" s="9"/>
      <c r="BV7" s="9"/>
      <c r="BW7" s="9"/>
      <c r="BX7" s="9"/>
      <c r="BY7" s="9"/>
      <c r="BZ7" s="9" t="s">
        <v>292</v>
      </c>
      <c r="CA7" s="114"/>
      <c r="CB7" s="8" t="s">
        <v>304</v>
      </c>
      <c r="CC7" s="10"/>
      <c r="CD7" s="8"/>
      <c r="CE7" s="9"/>
      <c r="CF7" s="8"/>
      <c r="CG7" s="9"/>
      <c r="CH7" s="9"/>
      <c r="CI7" s="9"/>
      <c r="CJ7" s="9"/>
      <c r="CK7" s="10"/>
    </row>
    <row r="8" spans="1:92" x14ac:dyDescent="0.2">
      <c r="A8" s="68">
        <v>667</v>
      </c>
      <c r="B8" t="s">
        <v>75</v>
      </c>
      <c r="C8" t="s">
        <v>81</v>
      </c>
      <c r="D8" t="s">
        <v>339</v>
      </c>
      <c r="E8" s="8">
        <v>863</v>
      </c>
      <c r="F8" s="10"/>
      <c r="G8" s="9">
        <v>0</v>
      </c>
      <c r="H8" s="9">
        <v>100</v>
      </c>
      <c r="I8" s="9">
        <v>0</v>
      </c>
      <c r="J8" s="9">
        <v>0</v>
      </c>
      <c r="K8" s="9">
        <v>0</v>
      </c>
      <c r="L8" s="9">
        <v>863</v>
      </c>
      <c r="M8" s="9">
        <v>0</v>
      </c>
      <c r="N8" s="9">
        <v>0</v>
      </c>
      <c r="O8" s="10" t="s">
        <v>293</v>
      </c>
      <c r="P8" s="8">
        <v>45</v>
      </c>
      <c r="Q8" s="9">
        <v>45</v>
      </c>
      <c r="R8" s="9">
        <v>45</v>
      </c>
      <c r="S8" s="9">
        <v>45</v>
      </c>
      <c r="T8" s="9"/>
      <c r="U8" s="10" t="s">
        <v>293</v>
      </c>
      <c r="V8" s="35" t="s">
        <v>75</v>
      </c>
      <c r="W8" s="8" t="s">
        <v>75</v>
      </c>
      <c r="X8" s="9"/>
      <c r="Y8" s="114"/>
      <c r="Z8" s="8"/>
      <c r="AA8" s="9"/>
      <c r="AB8" s="9"/>
      <c r="AC8" s="9"/>
      <c r="AD8" s="9"/>
      <c r="AE8" s="9"/>
      <c r="AF8" s="9"/>
      <c r="AG8" s="9"/>
      <c r="AH8" s="9"/>
      <c r="AI8" s="9"/>
      <c r="AJ8" s="9"/>
      <c r="AK8" s="9"/>
      <c r="AL8" s="9" t="s">
        <v>292</v>
      </c>
      <c r="AM8" s="10"/>
      <c r="AN8" s="9"/>
      <c r="AO8" s="114"/>
      <c r="AP8" s="8"/>
      <c r="AQ8" s="9"/>
      <c r="AR8" s="9"/>
      <c r="AS8" s="9" t="s">
        <v>147</v>
      </c>
      <c r="AT8" s="9"/>
      <c r="AU8" s="9"/>
      <c r="AV8" s="9"/>
      <c r="AW8" s="9"/>
      <c r="AX8" s="9"/>
      <c r="AY8" s="9"/>
      <c r="AZ8" s="114"/>
      <c r="BA8" s="35"/>
      <c r="BB8" s="134"/>
      <c r="BC8" s="35"/>
      <c r="BD8" s="9"/>
      <c r="BE8" s="9"/>
      <c r="BF8" s="9"/>
      <c r="BG8" s="9"/>
      <c r="BH8" s="9"/>
      <c r="BI8" s="9"/>
      <c r="BJ8" s="9"/>
      <c r="BK8" s="9"/>
      <c r="BL8" s="9"/>
      <c r="BM8" s="9" t="s">
        <v>292</v>
      </c>
      <c r="BN8" s="10"/>
      <c r="BO8" s="137"/>
      <c r="BP8" s="35"/>
      <c r="BQ8" s="8"/>
      <c r="BR8" s="9"/>
      <c r="BS8" s="9"/>
      <c r="BT8" s="9"/>
      <c r="BU8" s="9"/>
      <c r="BV8" s="9"/>
      <c r="BW8" s="9"/>
      <c r="BX8" s="9"/>
      <c r="BY8" s="9"/>
      <c r="BZ8" s="9" t="s">
        <v>292</v>
      </c>
      <c r="CA8" s="114"/>
      <c r="CB8" s="8"/>
      <c r="CC8" s="10"/>
      <c r="CD8" s="8"/>
      <c r="CE8" s="9"/>
      <c r="CF8" s="8"/>
      <c r="CG8" s="9"/>
      <c r="CH8" s="9"/>
      <c r="CI8" s="9"/>
      <c r="CJ8" s="9"/>
      <c r="CK8" s="10"/>
      <c r="CL8" t="s">
        <v>187</v>
      </c>
      <c r="CM8" t="s">
        <v>188</v>
      </c>
      <c r="CN8" t="s">
        <v>189</v>
      </c>
    </row>
    <row r="9" spans="1:92" x14ac:dyDescent="0.2">
      <c r="A9" s="68">
        <v>672</v>
      </c>
      <c r="B9" t="s">
        <v>141</v>
      </c>
      <c r="C9" t="s">
        <v>81</v>
      </c>
      <c r="D9" t="s">
        <v>339</v>
      </c>
      <c r="E9" s="8">
        <v>750</v>
      </c>
      <c r="F9" s="10"/>
      <c r="G9" s="9">
        <v>0</v>
      </c>
      <c r="H9" s="9">
        <v>100</v>
      </c>
      <c r="I9" s="9">
        <v>0</v>
      </c>
      <c r="J9" s="9">
        <v>0</v>
      </c>
      <c r="K9" s="9">
        <v>0</v>
      </c>
      <c r="L9" s="9">
        <v>750</v>
      </c>
      <c r="M9" s="9">
        <v>0</v>
      </c>
      <c r="N9" s="9">
        <v>0</v>
      </c>
      <c r="O9" s="10" t="s">
        <v>293</v>
      </c>
      <c r="P9" s="8">
        <v>28</v>
      </c>
      <c r="Q9" s="9"/>
      <c r="R9" s="9"/>
      <c r="S9" s="9"/>
      <c r="T9" s="9"/>
      <c r="U9" s="10" t="s">
        <v>293</v>
      </c>
      <c r="V9" s="35"/>
      <c r="W9" s="8"/>
      <c r="X9" s="9"/>
      <c r="Y9" s="114"/>
      <c r="Z9" s="8"/>
      <c r="AA9" s="9"/>
      <c r="AB9" s="9"/>
      <c r="AC9" s="9"/>
      <c r="AD9" s="9"/>
      <c r="AE9" s="9"/>
      <c r="AF9" s="9"/>
      <c r="AG9" s="9"/>
      <c r="AH9" s="9"/>
      <c r="AI9" s="9"/>
      <c r="AJ9" s="9"/>
      <c r="AK9" s="9"/>
      <c r="AL9" s="9" t="s">
        <v>292</v>
      </c>
      <c r="AM9" s="10"/>
      <c r="AN9" s="9"/>
      <c r="AO9" s="114"/>
      <c r="AP9" s="8"/>
      <c r="AQ9" s="9"/>
      <c r="AR9" s="9"/>
      <c r="AS9" s="9"/>
      <c r="AT9" s="9"/>
      <c r="AU9" s="9"/>
      <c r="AV9" s="9"/>
      <c r="AW9" s="9"/>
      <c r="AX9" s="9"/>
      <c r="AY9" s="9"/>
      <c r="AZ9" s="114"/>
      <c r="BA9" s="35"/>
      <c r="BB9" s="115"/>
      <c r="BC9" s="8"/>
      <c r="BD9" s="9"/>
      <c r="BE9" s="9"/>
      <c r="BF9" s="9"/>
      <c r="BG9" s="9"/>
      <c r="BH9" s="9"/>
      <c r="BI9" s="9"/>
      <c r="BJ9" s="9"/>
      <c r="BK9" s="9"/>
      <c r="BL9" s="9"/>
      <c r="BM9" s="9" t="s">
        <v>292</v>
      </c>
      <c r="BN9" s="10"/>
      <c r="BO9" s="137"/>
      <c r="BP9" s="35"/>
      <c r="BQ9" s="8"/>
      <c r="BR9" s="9"/>
      <c r="BS9" s="9"/>
      <c r="BT9" s="9"/>
      <c r="BU9" s="9"/>
      <c r="BV9" s="9"/>
      <c r="BW9" s="9"/>
      <c r="BX9" s="9"/>
      <c r="BY9" s="9"/>
      <c r="BZ9" s="9" t="s">
        <v>292</v>
      </c>
      <c r="CA9" s="114"/>
      <c r="CB9" s="8"/>
      <c r="CC9" s="10"/>
      <c r="CD9" s="8"/>
      <c r="CE9" s="9"/>
      <c r="CF9" s="8"/>
      <c r="CG9" s="9"/>
      <c r="CH9" s="9"/>
      <c r="CI9" s="9"/>
      <c r="CJ9" s="9"/>
      <c r="CK9" s="10"/>
    </row>
    <row r="10" spans="1:92" x14ac:dyDescent="0.2">
      <c r="A10" s="68">
        <v>676</v>
      </c>
      <c r="B10" t="s">
        <v>75</v>
      </c>
      <c r="C10" t="s">
        <v>81</v>
      </c>
      <c r="D10" t="s">
        <v>339</v>
      </c>
      <c r="E10" s="8">
        <v>10</v>
      </c>
      <c r="F10" s="10"/>
      <c r="G10" s="9"/>
      <c r="H10" s="9"/>
      <c r="I10" s="9"/>
      <c r="J10" s="9"/>
      <c r="K10" s="9"/>
      <c r="L10" s="9"/>
      <c r="M10" s="9"/>
      <c r="N10" s="9"/>
      <c r="O10" s="10" t="s">
        <v>292</v>
      </c>
      <c r="P10" s="8"/>
      <c r="Q10" s="9"/>
      <c r="R10" s="9"/>
      <c r="S10" s="9"/>
      <c r="T10" s="9"/>
      <c r="U10" s="10" t="s">
        <v>292</v>
      </c>
      <c r="V10" s="35"/>
      <c r="W10" s="8"/>
      <c r="X10" s="9"/>
      <c r="Y10" s="114"/>
      <c r="Z10" s="8"/>
      <c r="AA10" s="9"/>
      <c r="AB10" s="9"/>
      <c r="AC10" s="9"/>
      <c r="AD10" s="9"/>
      <c r="AE10" s="9"/>
      <c r="AF10" s="9"/>
      <c r="AG10" s="9"/>
      <c r="AH10" s="9"/>
      <c r="AI10" s="9"/>
      <c r="AJ10" s="9"/>
      <c r="AK10" s="9"/>
      <c r="AL10" s="9" t="s">
        <v>292</v>
      </c>
      <c r="AM10" s="10"/>
      <c r="AN10" s="9"/>
      <c r="AO10" s="114"/>
      <c r="AP10" s="8"/>
      <c r="AQ10" s="9"/>
      <c r="AR10" s="9"/>
      <c r="AS10" s="9"/>
      <c r="AT10" s="9"/>
      <c r="AU10" s="9"/>
      <c r="AV10" s="9"/>
      <c r="AW10" s="9"/>
      <c r="AX10" s="9"/>
      <c r="AY10" s="9"/>
      <c r="AZ10" s="114"/>
      <c r="BA10" s="35"/>
      <c r="BB10" s="115"/>
      <c r="BC10" s="8"/>
      <c r="BD10" s="9"/>
      <c r="BE10" s="9"/>
      <c r="BF10" s="9"/>
      <c r="BG10" s="9"/>
      <c r="BH10" s="9"/>
      <c r="BI10" s="9"/>
      <c r="BJ10" s="9"/>
      <c r="BK10" s="9"/>
      <c r="BL10" s="9"/>
      <c r="BM10" s="9" t="s">
        <v>292</v>
      </c>
      <c r="BN10" s="10"/>
      <c r="BO10" s="137"/>
      <c r="BP10" s="35"/>
      <c r="BQ10" s="8"/>
      <c r="BR10" s="9"/>
      <c r="BS10" s="9"/>
      <c r="BT10" s="9"/>
      <c r="BU10" s="9"/>
      <c r="BV10" s="9"/>
      <c r="BW10" s="9"/>
      <c r="BX10" s="9"/>
      <c r="BY10" s="9"/>
      <c r="BZ10" s="9" t="s">
        <v>292</v>
      </c>
      <c r="CA10" s="114"/>
      <c r="CB10" s="8"/>
      <c r="CC10" s="10"/>
      <c r="CD10" s="8"/>
      <c r="CE10" s="9"/>
      <c r="CF10" s="8"/>
      <c r="CG10" s="9"/>
      <c r="CH10" s="9"/>
      <c r="CI10" s="9"/>
      <c r="CJ10" s="9"/>
      <c r="CK10" s="10"/>
    </row>
    <row r="11" spans="1:92" x14ac:dyDescent="0.2">
      <c r="A11" s="68">
        <v>679</v>
      </c>
      <c r="B11" t="s">
        <v>75</v>
      </c>
      <c r="C11" t="s">
        <v>81</v>
      </c>
      <c r="D11" t="s">
        <v>339</v>
      </c>
      <c r="E11" s="8">
        <v>4000</v>
      </c>
      <c r="F11" s="10"/>
      <c r="G11" s="9">
        <v>100</v>
      </c>
      <c r="H11" s="9">
        <v>0</v>
      </c>
      <c r="I11" s="9">
        <v>0</v>
      </c>
      <c r="J11" s="9">
        <v>0</v>
      </c>
      <c r="K11" s="9">
        <v>4000</v>
      </c>
      <c r="L11" s="9">
        <v>0</v>
      </c>
      <c r="M11" s="9">
        <v>0</v>
      </c>
      <c r="N11" s="9">
        <v>0</v>
      </c>
      <c r="O11" s="10" t="s">
        <v>293</v>
      </c>
      <c r="P11" s="8"/>
      <c r="Q11" s="9"/>
      <c r="R11" s="9"/>
      <c r="S11" s="9"/>
      <c r="T11" s="9"/>
      <c r="U11" s="10" t="s">
        <v>292</v>
      </c>
      <c r="V11" s="35" t="s">
        <v>75</v>
      </c>
      <c r="W11" s="8" t="s">
        <v>74</v>
      </c>
      <c r="X11" s="9" t="s">
        <v>82</v>
      </c>
      <c r="Y11" s="114"/>
      <c r="Z11" s="8">
        <v>0</v>
      </c>
      <c r="AA11" s="9">
        <v>50</v>
      </c>
      <c r="AB11" s="9">
        <v>40</v>
      </c>
      <c r="AC11" s="9">
        <v>10</v>
      </c>
      <c r="AD11" s="9">
        <v>0</v>
      </c>
      <c r="AE11" s="9">
        <v>0</v>
      </c>
      <c r="AF11" s="9">
        <v>0</v>
      </c>
      <c r="AG11" s="9">
        <v>2000</v>
      </c>
      <c r="AH11" s="9">
        <v>1600</v>
      </c>
      <c r="AI11" s="9">
        <v>400</v>
      </c>
      <c r="AJ11" s="9">
        <v>0</v>
      </c>
      <c r="AK11" s="9">
        <v>0</v>
      </c>
      <c r="AL11" s="9" t="s">
        <v>293</v>
      </c>
      <c r="AM11" s="10"/>
      <c r="AN11" s="9"/>
      <c r="AO11" s="114"/>
      <c r="AP11" s="8"/>
      <c r="AQ11" s="9"/>
      <c r="AR11" s="9"/>
      <c r="AS11" s="9"/>
      <c r="AT11" s="9"/>
      <c r="AU11" s="9"/>
      <c r="AV11" s="9"/>
      <c r="AW11" s="9"/>
      <c r="AX11" s="9"/>
      <c r="AY11" s="9"/>
      <c r="AZ11" s="114"/>
      <c r="BA11" s="35" t="s">
        <v>152</v>
      </c>
      <c r="BB11" s="115"/>
      <c r="BC11" s="8"/>
      <c r="BD11" s="9"/>
      <c r="BE11" s="9"/>
      <c r="BF11" s="9"/>
      <c r="BG11" s="9"/>
      <c r="BH11" s="9"/>
      <c r="BI11" s="9"/>
      <c r="BJ11" s="9"/>
      <c r="BK11" s="9"/>
      <c r="BL11" s="9"/>
      <c r="BM11" s="9" t="s">
        <v>292</v>
      </c>
      <c r="BN11" s="10"/>
      <c r="BO11" s="137"/>
      <c r="BP11" s="35"/>
      <c r="BQ11" s="8"/>
      <c r="BR11" s="9"/>
      <c r="BS11" s="9"/>
      <c r="BT11" s="9"/>
      <c r="BU11" s="9"/>
      <c r="BV11" s="9"/>
      <c r="BW11" s="9"/>
      <c r="BX11" s="9"/>
      <c r="BY11" s="9"/>
      <c r="BZ11" s="9" t="s">
        <v>292</v>
      </c>
      <c r="CA11" s="114"/>
      <c r="CB11" s="8"/>
      <c r="CC11" s="10"/>
      <c r="CD11" s="8"/>
      <c r="CE11" s="9"/>
      <c r="CF11" s="8"/>
      <c r="CG11" s="9"/>
      <c r="CH11" s="9"/>
      <c r="CI11" s="9"/>
      <c r="CJ11" s="9"/>
      <c r="CK11" s="10"/>
    </row>
    <row r="12" spans="1:92" x14ac:dyDescent="0.2">
      <c r="A12" s="68">
        <v>680</v>
      </c>
      <c r="B12" t="s">
        <v>75</v>
      </c>
      <c r="C12" t="s">
        <v>81</v>
      </c>
      <c r="D12" t="s">
        <v>339</v>
      </c>
      <c r="E12" s="8">
        <v>1513</v>
      </c>
      <c r="F12" s="10"/>
      <c r="G12" s="9"/>
      <c r="H12" s="9"/>
      <c r="I12" s="9"/>
      <c r="J12" s="9"/>
      <c r="K12" s="9"/>
      <c r="L12" s="9"/>
      <c r="M12" s="9"/>
      <c r="N12" s="9"/>
      <c r="O12" s="10" t="s">
        <v>292</v>
      </c>
      <c r="P12" s="8">
        <v>60</v>
      </c>
      <c r="Q12" s="9">
        <v>50</v>
      </c>
      <c r="R12" s="9"/>
      <c r="S12" s="9"/>
      <c r="T12" s="9" t="s">
        <v>297</v>
      </c>
      <c r="U12" s="10" t="s">
        <v>293</v>
      </c>
      <c r="V12" s="35" t="s">
        <v>74</v>
      </c>
      <c r="W12" s="8"/>
      <c r="X12" s="9"/>
      <c r="Y12" s="114"/>
      <c r="Z12" s="8"/>
      <c r="AA12" s="9"/>
      <c r="AB12" s="9"/>
      <c r="AC12" s="9"/>
      <c r="AD12" s="9"/>
      <c r="AE12" s="9"/>
      <c r="AF12" s="9"/>
      <c r="AG12" s="9"/>
      <c r="AH12" s="9"/>
      <c r="AI12" s="9"/>
      <c r="AJ12" s="9"/>
      <c r="AK12" s="9"/>
      <c r="AL12" s="9" t="s">
        <v>292</v>
      </c>
      <c r="AM12" s="10"/>
      <c r="AN12" s="9"/>
      <c r="AO12" s="114"/>
      <c r="AP12" s="8"/>
      <c r="AQ12" s="9" t="s">
        <v>147</v>
      </c>
      <c r="AR12" s="9" t="s">
        <v>147</v>
      </c>
      <c r="AS12" s="9" t="s">
        <v>147</v>
      </c>
      <c r="AT12" s="9" t="s">
        <v>147</v>
      </c>
      <c r="AU12" s="9" t="s">
        <v>147</v>
      </c>
      <c r="AV12" s="9" t="s">
        <v>147</v>
      </c>
      <c r="AW12" s="9" t="s">
        <v>147</v>
      </c>
      <c r="AX12" s="9" t="s">
        <v>147</v>
      </c>
      <c r="AY12" s="9" t="s">
        <v>147</v>
      </c>
      <c r="AZ12" s="114"/>
      <c r="BA12" s="35" t="s">
        <v>75</v>
      </c>
      <c r="BB12" s="115"/>
      <c r="BC12" s="8"/>
      <c r="BD12" s="9"/>
      <c r="BE12" s="9"/>
      <c r="BF12" s="9"/>
      <c r="BG12" s="9"/>
      <c r="BH12" s="9"/>
      <c r="BI12" s="9"/>
      <c r="BJ12" s="9"/>
      <c r="BK12" s="9"/>
      <c r="BL12" s="9"/>
      <c r="BM12" s="9" t="s">
        <v>292</v>
      </c>
      <c r="BN12" s="10"/>
      <c r="BO12" s="137"/>
      <c r="BP12" s="35">
        <v>0</v>
      </c>
      <c r="BQ12" s="8">
        <v>20</v>
      </c>
      <c r="BR12" s="9">
        <v>0</v>
      </c>
      <c r="BS12" s="9">
        <v>30</v>
      </c>
      <c r="BT12" s="9">
        <v>0</v>
      </c>
      <c r="BU12" s="9"/>
      <c r="BV12" s="9"/>
      <c r="BW12" s="9"/>
      <c r="BX12" s="9"/>
      <c r="BY12" s="9"/>
      <c r="BZ12" s="9" t="s">
        <v>293</v>
      </c>
      <c r="CA12" s="114"/>
      <c r="CB12" s="8" t="s">
        <v>304</v>
      </c>
      <c r="CC12" s="10" t="s">
        <v>84</v>
      </c>
      <c r="CD12" s="8" t="s">
        <v>75</v>
      </c>
      <c r="CE12" s="9"/>
      <c r="CF12" s="8"/>
      <c r="CG12" s="9"/>
      <c r="CH12" s="9"/>
      <c r="CI12" s="9"/>
      <c r="CJ12" s="9"/>
      <c r="CK12" s="10"/>
      <c r="CL12" t="s">
        <v>85</v>
      </c>
    </row>
    <row r="13" spans="1:92" x14ac:dyDescent="0.2">
      <c r="A13" s="68">
        <v>693</v>
      </c>
      <c r="B13" t="s">
        <v>141</v>
      </c>
      <c r="C13" t="s">
        <v>342</v>
      </c>
      <c r="D13" t="s">
        <v>339</v>
      </c>
      <c r="E13" s="8">
        <v>79200</v>
      </c>
      <c r="F13" s="10"/>
      <c r="G13" s="9"/>
      <c r="H13" s="9"/>
      <c r="I13" s="9"/>
      <c r="J13" s="9"/>
      <c r="K13" s="9"/>
      <c r="L13" s="9"/>
      <c r="M13" s="9"/>
      <c r="N13" s="9"/>
      <c r="O13" s="10" t="s">
        <v>292</v>
      </c>
      <c r="P13" s="8"/>
      <c r="Q13" s="9"/>
      <c r="R13" s="9"/>
      <c r="S13" s="9"/>
      <c r="T13" s="9"/>
      <c r="U13" s="10" t="s">
        <v>292</v>
      </c>
      <c r="V13" s="35"/>
      <c r="W13" s="8"/>
      <c r="X13" s="9"/>
      <c r="Y13" s="114"/>
      <c r="Z13" s="8"/>
      <c r="AA13" s="9"/>
      <c r="AB13" s="9"/>
      <c r="AC13" s="9"/>
      <c r="AD13" s="9"/>
      <c r="AE13" s="9"/>
      <c r="AF13" s="9"/>
      <c r="AG13" s="9"/>
      <c r="AH13" s="9"/>
      <c r="AI13" s="9"/>
      <c r="AJ13" s="9"/>
      <c r="AK13" s="9"/>
      <c r="AL13" s="9" t="s">
        <v>292</v>
      </c>
      <c r="AM13" s="10"/>
      <c r="AN13" s="9"/>
      <c r="AO13" s="114"/>
      <c r="AP13" s="8"/>
      <c r="AQ13" s="9"/>
      <c r="AR13" s="9"/>
      <c r="AS13" s="9"/>
      <c r="AT13" s="9"/>
      <c r="AU13" s="9"/>
      <c r="AV13" s="9"/>
      <c r="AW13" s="9"/>
      <c r="AX13" s="9"/>
      <c r="AY13" s="9"/>
      <c r="AZ13" s="114"/>
      <c r="BA13" s="35"/>
      <c r="BB13" s="115"/>
      <c r="BC13" s="8"/>
      <c r="BD13" s="9"/>
      <c r="BE13" s="9"/>
      <c r="BF13" s="9"/>
      <c r="BG13" s="9"/>
      <c r="BH13" s="9"/>
      <c r="BI13" s="9"/>
      <c r="BJ13" s="9"/>
      <c r="BK13" s="9"/>
      <c r="BL13" s="9"/>
      <c r="BM13" s="9" t="s">
        <v>292</v>
      </c>
      <c r="BN13" s="10"/>
      <c r="BO13" s="137"/>
      <c r="BP13" s="35"/>
      <c r="BQ13" s="8"/>
      <c r="BR13" s="9"/>
      <c r="BS13" s="9"/>
      <c r="BT13" s="9"/>
      <c r="BU13" s="9"/>
      <c r="BV13" s="9"/>
      <c r="BW13" s="9"/>
      <c r="BX13" s="9"/>
      <c r="BY13" s="9"/>
      <c r="BZ13" s="9" t="s">
        <v>292</v>
      </c>
      <c r="CA13" s="114"/>
      <c r="CB13" s="8"/>
      <c r="CC13" s="10"/>
      <c r="CD13" s="8"/>
      <c r="CE13" s="9"/>
      <c r="CF13" s="8"/>
      <c r="CG13" s="9"/>
      <c r="CH13" s="9"/>
      <c r="CI13" s="9"/>
      <c r="CJ13" s="9"/>
      <c r="CK13" s="10"/>
    </row>
    <row r="14" spans="1:92" x14ac:dyDescent="0.2">
      <c r="A14" s="68">
        <v>1893</v>
      </c>
      <c r="B14" t="s">
        <v>141</v>
      </c>
      <c r="C14" t="s">
        <v>98</v>
      </c>
      <c r="D14" t="s">
        <v>339</v>
      </c>
      <c r="E14" s="8">
        <v>5220</v>
      </c>
      <c r="F14" s="10"/>
      <c r="G14" s="9">
        <v>0</v>
      </c>
      <c r="H14" s="9">
        <v>0</v>
      </c>
      <c r="I14" s="9">
        <v>100</v>
      </c>
      <c r="J14" s="9">
        <v>0</v>
      </c>
      <c r="K14" s="9">
        <v>0</v>
      </c>
      <c r="L14" s="9">
        <v>0</v>
      </c>
      <c r="M14" s="9">
        <v>5220</v>
      </c>
      <c r="N14" s="9">
        <v>0</v>
      </c>
      <c r="O14" s="10" t="s">
        <v>293</v>
      </c>
      <c r="P14" s="8">
        <v>23</v>
      </c>
      <c r="Q14" s="9"/>
      <c r="R14" s="9">
        <v>10</v>
      </c>
      <c r="S14" s="9"/>
      <c r="T14" s="9" t="s">
        <v>297</v>
      </c>
      <c r="U14" s="10" t="s">
        <v>293</v>
      </c>
      <c r="V14" s="35" t="s">
        <v>75</v>
      </c>
      <c r="W14" s="8" t="s">
        <v>75</v>
      </c>
      <c r="X14" s="9"/>
      <c r="Y14" s="114"/>
      <c r="Z14" s="8"/>
      <c r="AA14" s="9"/>
      <c r="AB14" s="9"/>
      <c r="AC14" s="9"/>
      <c r="AD14" s="9"/>
      <c r="AE14" s="9"/>
      <c r="AF14" s="9"/>
      <c r="AG14" s="9"/>
      <c r="AH14" s="9"/>
      <c r="AI14" s="9"/>
      <c r="AJ14" s="9"/>
      <c r="AK14" s="9"/>
      <c r="AL14" s="9" t="s">
        <v>292</v>
      </c>
      <c r="AM14" s="10"/>
      <c r="AN14" s="9"/>
      <c r="AO14" s="114"/>
      <c r="AP14" s="8"/>
      <c r="AQ14" s="9"/>
      <c r="AR14" s="9"/>
      <c r="AS14" s="9"/>
      <c r="AT14" s="9"/>
      <c r="AU14" s="9"/>
      <c r="AV14" s="9"/>
      <c r="AW14" s="9"/>
      <c r="AX14" s="9"/>
      <c r="AY14" s="9"/>
      <c r="AZ14" s="114"/>
      <c r="BA14" s="35" t="s">
        <v>152</v>
      </c>
      <c r="BB14" s="115"/>
      <c r="BC14" s="8"/>
      <c r="BD14" s="9"/>
      <c r="BE14" s="9"/>
      <c r="BF14" s="9"/>
      <c r="BG14" s="9"/>
      <c r="BH14" s="9"/>
      <c r="BI14" s="9"/>
      <c r="BJ14" s="9"/>
      <c r="BK14" s="9"/>
      <c r="BL14" s="9"/>
      <c r="BM14" s="9" t="s">
        <v>292</v>
      </c>
      <c r="BN14" s="10"/>
      <c r="BO14" s="137"/>
      <c r="BP14" s="35"/>
      <c r="BQ14" s="8"/>
      <c r="BR14" s="9"/>
      <c r="BS14" s="9"/>
      <c r="BT14" s="9"/>
      <c r="BU14" s="9"/>
      <c r="BV14" s="9"/>
      <c r="BW14" s="9"/>
      <c r="BX14" s="9"/>
      <c r="BY14" s="9"/>
      <c r="BZ14" s="9" t="s">
        <v>292</v>
      </c>
      <c r="CA14" s="114"/>
      <c r="CB14" s="8"/>
      <c r="CC14" s="10"/>
      <c r="CD14" s="8"/>
      <c r="CE14" s="9"/>
      <c r="CF14" s="8"/>
      <c r="CG14" s="9"/>
      <c r="CH14" s="9"/>
      <c r="CI14" s="9"/>
      <c r="CJ14" s="9"/>
      <c r="CK14" s="10"/>
      <c r="CL14" t="s">
        <v>215</v>
      </c>
      <c r="CM14" t="s">
        <v>216</v>
      </c>
      <c r="CN14" t="s">
        <v>217</v>
      </c>
    </row>
    <row r="15" spans="1:92" x14ac:dyDescent="0.2">
      <c r="A15" s="68">
        <v>2353</v>
      </c>
      <c r="B15" t="s">
        <v>75</v>
      </c>
      <c r="C15" t="s">
        <v>135</v>
      </c>
      <c r="D15" t="s">
        <v>339</v>
      </c>
      <c r="E15" s="8">
        <v>108000</v>
      </c>
      <c r="F15" s="10"/>
      <c r="G15" s="9">
        <v>20</v>
      </c>
      <c r="H15" s="9">
        <v>80</v>
      </c>
      <c r="I15" s="9">
        <v>0</v>
      </c>
      <c r="J15" s="9">
        <v>0</v>
      </c>
      <c r="K15" s="9">
        <v>21600</v>
      </c>
      <c r="L15" s="9">
        <v>86400</v>
      </c>
      <c r="M15" s="9">
        <v>0</v>
      </c>
      <c r="N15" s="9">
        <v>0</v>
      </c>
      <c r="O15" s="10" t="s">
        <v>293</v>
      </c>
      <c r="P15" s="8">
        <v>9.5</v>
      </c>
      <c r="Q15" s="9">
        <v>9.5</v>
      </c>
      <c r="R15" s="9">
        <v>9.5</v>
      </c>
      <c r="S15" s="9">
        <v>9.5</v>
      </c>
      <c r="T15" s="9"/>
      <c r="U15" s="10" t="s">
        <v>293</v>
      </c>
      <c r="V15" s="35" t="s">
        <v>75</v>
      </c>
      <c r="W15" s="8" t="s">
        <v>75</v>
      </c>
      <c r="X15" s="9"/>
      <c r="Y15" s="114"/>
      <c r="Z15" s="8">
        <v>5</v>
      </c>
      <c r="AA15" s="9">
        <v>15</v>
      </c>
      <c r="AB15" s="9">
        <v>75</v>
      </c>
      <c r="AC15" s="9">
        <v>0</v>
      </c>
      <c r="AD15" s="9">
        <v>5</v>
      </c>
      <c r="AE15" s="9">
        <v>0</v>
      </c>
      <c r="AF15" s="9">
        <v>1080</v>
      </c>
      <c r="AG15" s="9">
        <v>3240</v>
      </c>
      <c r="AH15" s="9">
        <v>16200</v>
      </c>
      <c r="AI15" s="9">
        <v>0</v>
      </c>
      <c r="AJ15" s="9">
        <v>1080</v>
      </c>
      <c r="AK15" s="9">
        <v>0</v>
      </c>
      <c r="AL15" s="9" t="s">
        <v>293</v>
      </c>
      <c r="AM15" s="10"/>
      <c r="AN15" s="9"/>
      <c r="AO15" s="114"/>
      <c r="AP15" s="8"/>
      <c r="AQ15" s="9"/>
      <c r="AR15" s="9"/>
      <c r="AS15" s="9"/>
      <c r="AT15" s="9" t="s">
        <v>147</v>
      </c>
      <c r="AU15" s="9"/>
      <c r="AV15" s="9"/>
      <c r="AW15" s="9"/>
      <c r="AX15" s="9"/>
      <c r="AY15" s="9"/>
      <c r="AZ15" s="114"/>
      <c r="BA15" s="35" t="s">
        <v>152</v>
      </c>
      <c r="BB15" s="115"/>
      <c r="BC15" s="8"/>
      <c r="BD15" s="9"/>
      <c r="BE15" s="9"/>
      <c r="BF15" s="9"/>
      <c r="BG15" s="9"/>
      <c r="BH15" s="9"/>
      <c r="BI15" s="9"/>
      <c r="BJ15" s="9"/>
      <c r="BK15" s="9"/>
      <c r="BL15" s="9"/>
      <c r="BM15" s="9" t="s">
        <v>292</v>
      </c>
      <c r="BN15" s="10"/>
      <c r="BO15" s="137"/>
      <c r="BP15" s="35"/>
      <c r="BQ15" s="8"/>
      <c r="BR15" s="9"/>
      <c r="BS15" s="9"/>
      <c r="BT15" s="9"/>
      <c r="BU15" s="9"/>
      <c r="BV15" s="9"/>
      <c r="BW15" s="9"/>
      <c r="BX15" s="9"/>
      <c r="BY15" s="9"/>
      <c r="BZ15" s="9" t="s">
        <v>292</v>
      </c>
      <c r="CA15" s="114"/>
      <c r="CB15" s="8"/>
      <c r="CC15" s="10"/>
      <c r="CD15" s="8"/>
      <c r="CE15" s="9"/>
      <c r="CF15" s="8"/>
      <c r="CG15" s="9"/>
      <c r="CH15" s="9"/>
      <c r="CI15" s="9"/>
      <c r="CJ15" s="9"/>
      <c r="CK15" s="10"/>
      <c r="CL15" t="s">
        <v>137</v>
      </c>
      <c r="CM15" t="s">
        <v>138</v>
      </c>
      <c r="CN15" t="s">
        <v>136</v>
      </c>
    </row>
  </sheetData>
  <mergeCells count="11">
    <mergeCell ref="BC1:BN1"/>
    <mergeCell ref="BQ1:BX1"/>
    <mergeCell ref="CB1:CC1"/>
    <mergeCell ref="CD1:CE1"/>
    <mergeCell ref="CF1:CK1"/>
    <mergeCell ref="AP1:AY1"/>
    <mergeCell ref="E1:F1"/>
    <mergeCell ref="G1:O1"/>
    <mergeCell ref="P1:U1"/>
    <mergeCell ref="W1:X1"/>
    <mergeCell ref="Z1:AK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N16"/>
  <sheetViews>
    <sheetView workbookViewId="0">
      <selection activeCell="K13" sqref="K13"/>
    </sheetView>
  </sheetViews>
  <sheetFormatPr baseColWidth="10" defaultColWidth="8.83203125" defaultRowHeight="15" x14ac:dyDescent="0.2"/>
  <sheetData>
    <row r="1" spans="1:92" x14ac:dyDescent="0.2">
      <c r="E1" t="s">
        <v>231</v>
      </c>
      <c r="G1" t="s">
        <v>233</v>
      </c>
      <c r="P1" t="s">
        <v>242</v>
      </c>
      <c r="V1" t="s">
        <v>248</v>
      </c>
      <c r="W1" t="s">
        <v>249</v>
      </c>
      <c r="Z1" t="s">
        <v>276</v>
      </c>
      <c r="AP1" t="s">
        <v>277</v>
      </c>
      <c r="BA1" t="s">
        <v>278</v>
      </c>
      <c r="BC1" t="s">
        <v>275</v>
      </c>
      <c r="BP1" t="s">
        <v>315</v>
      </c>
      <c r="BQ1" t="s">
        <v>281</v>
      </c>
      <c r="CB1" t="s">
        <v>288</v>
      </c>
      <c r="CD1" t="s">
        <v>289</v>
      </c>
      <c r="CF1" t="s">
        <v>290</v>
      </c>
    </row>
    <row r="2" spans="1:92" x14ac:dyDescent="0.2">
      <c r="A2" t="s">
        <v>150</v>
      </c>
      <c r="B2" t="s">
        <v>1</v>
      </c>
      <c r="C2" t="s">
        <v>2</v>
      </c>
      <c r="D2" t="s">
        <v>230</v>
      </c>
      <c r="E2" t="s">
        <v>232</v>
      </c>
      <c r="F2" t="s">
        <v>294</v>
      </c>
      <c r="G2" t="s">
        <v>234</v>
      </c>
      <c r="H2" t="s">
        <v>235</v>
      </c>
      <c r="I2" t="s">
        <v>236</v>
      </c>
      <c r="J2" t="s">
        <v>237</v>
      </c>
      <c r="K2" t="s">
        <v>238</v>
      </c>
      <c r="L2" t="s">
        <v>239</v>
      </c>
      <c r="M2" t="s">
        <v>240</v>
      </c>
      <c r="N2" t="s">
        <v>241</v>
      </c>
      <c r="O2" t="s">
        <v>291</v>
      </c>
      <c r="P2" t="s">
        <v>243</v>
      </c>
      <c r="Q2" t="s">
        <v>244</v>
      </c>
      <c r="R2" t="s">
        <v>245</v>
      </c>
      <c r="S2" t="s">
        <v>246</v>
      </c>
      <c r="T2" t="s">
        <v>296</v>
      </c>
      <c r="U2" t="s">
        <v>295</v>
      </c>
      <c r="V2" t="s">
        <v>247</v>
      </c>
      <c r="W2" t="s">
        <v>250</v>
      </c>
      <c r="X2" t="s">
        <v>18</v>
      </c>
      <c r="Z2" t="s">
        <v>251</v>
      </c>
      <c r="AA2" t="s">
        <v>252</v>
      </c>
      <c r="AB2" t="s">
        <v>253</v>
      </c>
      <c r="AC2" t="s">
        <v>254</v>
      </c>
      <c r="AD2" t="s">
        <v>255</v>
      </c>
      <c r="AE2" t="s">
        <v>256</v>
      </c>
      <c r="AF2" t="s">
        <v>257</v>
      </c>
      <c r="AG2" t="s">
        <v>258</v>
      </c>
      <c r="AH2" t="s">
        <v>259</v>
      </c>
      <c r="AI2" t="s">
        <v>260</v>
      </c>
      <c r="AJ2" t="s">
        <v>261</v>
      </c>
      <c r="AK2" t="s">
        <v>262</v>
      </c>
      <c r="AL2" t="s">
        <v>298</v>
      </c>
      <c r="AM2" t="s">
        <v>299</v>
      </c>
      <c r="AP2" t="s">
        <v>263</v>
      </c>
      <c r="AQ2" t="s">
        <v>264</v>
      </c>
      <c r="AR2" t="s">
        <v>265</v>
      </c>
      <c r="AS2" t="s">
        <v>266</v>
      </c>
      <c r="AT2" t="s">
        <v>267</v>
      </c>
      <c r="AU2" t="s">
        <v>268</v>
      </c>
      <c r="AV2" t="s">
        <v>269</v>
      </c>
      <c r="AW2" t="s">
        <v>270</v>
      </c>
      <c r="AX2" t="s">
        <v>271</v>
      </c>
      <c r="AY2" t="s">
        <v>272</v>
      </c>
      <c r="BA2" t="s">
        <v>273</v>
      </c>
      <c r="BC2" t="s">
        <v>274</v>
      </c>
      <c r="BD2" t="s">
        <v>252</v>
      </c>
      <c r="BE2" t="s">
        <v>253</v>
      </c>
      <c r="BF2" t="s">
        <v>279</v>
      </c>
      <c r="BG2" t="s">
        <v>256</v>
      </c>
      <c r="BH2" t="s">
        <v>257</v>
      </c>
      <c r="BI2" t="s">
        <v>258</v>
      </c>
      <c r="BJ2" t="s">
        <v>259</v>
      </c>
      <c r="BK2" t="s">
        <v>261</v>
      </c>
      <c r="BL2" t="s">
        <v>262</v>
      </c>
      <c r="BM2" t="s">
        <v>300</v>
      </c>
      <c r="BN2" t="s">
        <v>301</v>
      </c>
      <c r="BP2" t="s">
        <v>280</v>
      </c>
      <c r="BQ2" t="s">
        <v>282</v>
      </c>
      <c r="BR2" t="s">
        <v>283</v>
      </c>
      <c r="BS2" t="s">
        <v>284</v>
      </c>
      <c r="BT2" t="s">
        <v>285</v>
      </c>
      <c r="BU2" t="s">
        <v>286</v>
      </c>
      <c r="BV2" t="s">
        <v>287</v>
      </c>
      <c r="BW2" t="s">
        <v>59</v>
      </c>
      <c r="BX2" t="s">
        <v>60</v>
      </c>
      <c r="BY2" t="s">
        <v>303</v>
      </c>
      <c r="BZ2" t="s">
        <v>302</v>
      </c>
      <c r="CB2" t="s">
        <v>61</v>
      </c>
      <c r="CC2" t="s">
        <v>62</v>
      </c>
      <c r="CD2" t="s">
        <v>63</v>
      </c>
      <c r="CE2" t="s">
        <v>64</v>
      </c>
      <c r="CF2" t="s">
        <v>65</v>
      </c>
      <c r="CG2" t="s">
        <v>66</v>
      </c>
      <c r="CH2" t="s">
        <v>67</v>
      </c>
      <c r="CI2" t="s">
        <v>68</v>
      </c>
      <c r="CJ2" t="s">
        <v>69</v>
      </c>
      <c r="CK2" t="s">
        <v>70</v>
      </c>
      <c r="CL2" t="s">
        <v>71</v>
      </c>
      <c r="CM2" t="s">
        <v>72</v>
      </c>
      <c r="CN2" t="s">
        <v>73</v>
      </c>
    </row>
    <row r="3" spans="1:92" x14ac:dyDescent="0.2">
      <c r="A3">
        <v>457</v>
      </c>
      <c r="B3" t="s">
        <v>75</v>
      </c>
      <c r="C3" t="s">
        <v>76</v>
      </c>
      <c r="D3" t="s">
        <v>341</v>
      </c>
      <c r="E3">
        <v>61387.199999999997</v>
      </c>
      <c r="F3" t="s">
        <v>141</v>
      </c>
      <c r="G3">
        <v>0</v>
      </c>
      <c r="H3">
        <v>100</v>
      </c>
      <c r="I3">
        <v>0</v>
      </c>
      <c r="J3">
        <v>0</v>
      </c>
      <c r="K3">
        <v>0</v>
      </c>
      <c r="L3">
        <v>2663.5010849999999</v>
      </c>
      <c r="M3">
        <v>0</v>
      </c>
      <c r="N3">
        <v>0</v>
      </c>
      <c r="O3" t="s">
        <v>293</v>
      </c>
      <c r="P3">
        <v>6</v>
      </c>
      <c r="T3" t="s">
        <v>297</v>
      </c>
      <c r="U3" t="s">
        <v>293</v>
      </c>
      <c r="V3" t="s">
        <v>75</v>
      </c>
      <c r="W3" t="s">
        <v>75</v>
      </c>
      <c r="AL3" t="s">
        <v>292</v>
      </c>
      <c r="BA3" t="s">
        <v>152</v>
      </c>
      <c r="BM3" t="s">
        <v>292</v>
      </c>
      <c r="BZ3" t="s">
        <v>292</v>
      </c>
      <c r="CL3" t="s">
        <v>119</v>
      </c>
      <c r="CN3" t="s">
        <v>118</v>
      </c>
    </row>
    <row r="4" spans="1:92" x14ac:dyDescent="0.2">
      <c r="A4">
        <v>482</v>
      </c>
      <c r="B4" t="s">
        <v>75</v>
      </c>
      <c r="C4" t="s">
        <v>76</v>
      </c>
      <c r="D4" t="s">
        <v>341</v>
      </c>
      <c r="E4">
        <v>4862</v>
      </c>
      <c r="G4">
        <v>80</v>
      </c>
      <c r="H4">
        <v>20</v>
      </c>
      <c r="I4">
        <v>0</v>
      </c>
      <c r="J4">
        <v>0</v>
      </c>
      <c r="K4">
        <v>3889.6</v>
      </c>
      <c r="L4">
        <v>972.4</v>
      </c>
      <c r="M4">
        <v>0</v>
      </c>
      <c r="N4">
        <v>0</v>
      </c>
      <c r="O4" t="s">
        <v>293</v>
      </c>
      <c r="P4">
        <v>28</v>
      </c>
      <c r="Q4">
        <v>28</v>
      </c>
      <c r="R4">
        <v>28</v>
      </c>
      <c r="S4">
        <v>25</v>
      </c>
      <c r="U4" t="s">
        <v>293</v>
      </c>
      <c r="V4" t="s">
        <v>75</v>
      </c>
      <c r="W4" t="s">
        <v>75</v>
      </c>
      <c r="Z4">
        <v>0</v>
      </c>
      <c r="AA4">
        <v>74.75</v>
      </c>
      <c r="AB4">
        <v>25.000000000000007</v>
      </c>
      <c r="AC4">
        <v>0</v>
      </c>
      <c r="AD4">
        <v>0.25000000000000006</v>
      </c>
      <c r="AE4">
        <v>0</v>
      </c>
      <c r="AF4">
        <v>0</v>
      </c>
      <c r="AG4">
        <v>2907.4759999999997</v>
      </c>
      <c r="AH4">
        <v>972.40000000000032</v>
      </c>
      <c r="AI4">
        <v>0</v>
      </c>
      <c r="AJ4">
        <v>9.724000000000002</v>
      </c>
      <c r="AK4">
        <v>0</v>
      </c>
      <c r="AL4" t="s">
        <v>293</v>
      </c>
      <c r="AM4" t="s">
        <v>141</v>
      </c>
      <c r="AY4" t="s">
        <v>147</v>
      </c>
      <c r="BA4" t="s">
        <v>75</v>
      </c>
      <c r="BM4" t="s">
        <v>292</v>
      </c>
      <c r="BP4">
        <v>0</v>
      </c>
      <c r="BZ4" t="s">
        <v>292</v>
      </c>
      <c r="CB4" t="s">
        <v>74</v>
      </c>
      <c r="CL4" t="s">
        <v>115</v>
      </c>
      <c r="CM4" t="s">
        <v>116</v>
      </c>
      <c r="CN4" t="s">
        <v>114</v>
      </c>
    </row>
    <row r="5" spans="1:92" x14ac:dyDescent="0.2">
      <c r="A5">
        <v>497</v>
      </c>
      <c r="B5" t="s">
        <v>141</v>
      </c>
      <c r="C5" t="s">
        <v>76</v>
      </c>
      <c r="D5" t="s">
        <v>341</v>
      </c>
      <c r="E5">
        <v>13440</v>
      </c>
      <c r="G5">
        <v>30</v>
      </c>
      <c r="H5">
        <v>20</v>
      </c>
      <c r="I5">
        <v>0</v>
      </c>
      <c r="J5">
        <v>50</v>
      </c>
      <c r="K5">
        <v>174.94260000000003</v>
      </c>
      <c r="L5">
        <v>116.6284</v>
      </c>
      <c r="M5">
        <v>0</v>
      </c>
      <c r="N5">
        <v>291.57100000000003</v>
      </c>
      <c r="O5" t="s">
        <v>293</v>
      </c>
      <c r="P5">
        <v>112.32</v>
      </c>
      <c r="Q5">
        <v>112.32</v>
      </c>
      <c r="R5">
        <v>74.88</v>
      </c>
      <c r="S5">
        <v>74.88</v>
      </c>
      <c r="T5" t="s">
        <v>141</v>
      </c>
      <c r="U5" t="s">
        <v>293</v>
      </c>
      <c r="V5" t="s">
        <v>141</v>
      </c>
      <c r="W5" t="s">
        <v>141</v>
      </c>
      <c r="Z5">
        <v>0</v>
      </c>
      <c r="AA5">
        <v>60</v>
      </c>
      <c r="AB5">
        <v>0</v>
      </c>
      <c r="AC5">
        <v>20</v>
      </c>
      <c r="AD5">
        <v>20</v>
      </c>
      <c r="AE5">
        <v>0</v>
      </c>
      <c r="AF5">
        <v>0</v>
      </c>
      <c r="AG5">
        <v>104.96556000000002</v>
      </c>
      <c r="AH5">
        <v>0</v>
      </c>
      <c r="AI5">
        <v>34.988520000000008</v>
      </c>
      <c r="AJ5">
        <v>34.988520000000008</v>
      </c>
      <c r="AK5">
        <v>0</v>
      </c>
      <c r="AL5" t="s">
        <v>293</v>
      </c>
      <c r="AT5" t="s">
        <v>147</v>
      </c>
      <c r="AU5" t="s">
        <v>147</v>
      </c>
      <c r="AW5" t="s">
        <v>147</v>
      </c>
      <c r="BA5" t="s">
        <v>152</v>
      </c>
      <c r="BM5" t="s">
        <v>292</v>
      </c>
      <c r="BZ5" t="s">
        <v>292</v>
      </c>
      <c r="CL5" t="s">
        <v>176</v>
      </c>
      <c r="CM5" t="s">
        <v>177</v>
      </c>
      <c r="CN5" t="s">
        <v>178</v>
      </c>
    </row>
    <row r="6" spans="1:92" x14ac:dyDescent="0.2">
      <c r="A6">
        <v>733</v>
      </c>
      <c r="B6" t="s">
        <v>141</v>
      </c>
      <c r="C6" t="s">
        <v>343</v>
      </c>
      <c r="D6" t="s">
        <v>341</v>
      </c>
      <c r="E6">
        <v>37203</v>
      </c>
      <c r="G6">
        <v>0</v>
      </c>
      <c r="H6">
        <v>95.380079476990133</v>
      </c>
      <c r="I6">
        <v>0</v>
      </c>
      <c r="J6">
        <v>4.6199205230098705</v>
      </c>
      <c r="K6">
        <v>0</v>
      </c>
      <c r="L6">
        <v>35484.250967824642</v>
      </c>
      <c r="M6">
        <v>0</v>
      </c>
      <c r="N6">
        <v>1718.7490321753623</v>
      </c>
      <c r="O6" t="s">
        <v>293</v>
      </c>
      <c r="P6">
        <v>57</v>
      </c>
      <c r="T6" t="s">
        <v>297</v>
      </c>
      <c r="U6" t="s">
        <v>293</v>
      </c>
      <c r="V6" t="s">
        <v>141</v>
      </c>
      <c r="W6" t="s">
        <v>141</v>
      </c>
      <c r="AL6" t="s">
        <v>292</v>
      </c>
      <c r="AT6" t="s">
        <v>147</v>
      </c>
      <c r="AU6" t="s">
        <v>147</v>
      </c>
      <c r="AV6" t="s">
        <v>151</v>
      </c>
      <c r="BA6" t="s">
        <v>141</v>
      </c>
      <c r="BM6" t="s">
        <v>292</v>
      </c>
      <c r="BP6">
        <v>50</v>
      </c>
      <c r="BY6" t="s">
        <v>141</v>
      </c>
      <c r="BZ6" t="s">
        <v>293</v>
      </c>
      <c r="CB6" t="s">
        <v>304</v>
      </c>
      <c r="CC6" t="s">
        <v>190</v>
      </c>
      <c r="CD6" t="s">
        <v>75</v>
      </c>
      <c r="CE6">
        <v>0</v>
      </c>
      <c r="CL6" t="s">
        <v>191</v>
      </c>
    </row>
    <row r="7" spans="1:92" x14ac:dyDescent="0.2">
      <c r="A7">
        <v>735</v>
      </c>
      <c r="B7" t="s">
        <v>141</v>
      </c>
      <c r="C7" t="s">
        <v>76</v>
      </c>
      <c r="D7" t="s">
        <v>341</v>
      </c>
      <c r="E7">
        <v>129465.59999999999</v>
      </c>
      <c r="F7" t="s">
        <v>141</v>
      </c>
      <c r="G7">
        <v>0</v>
      </c>
      <c r="H7">
        <v>0</v>
      </c>
      <c r="I7">
        <v>100</v>
      </c>
      <c r="J7">
        <v>0</v>
      </c>
      <c r="K7">
        <v>0</v>
      </c>
      <c r="L7">
        <v>0</v>
      </c>
      <c r="M7">
        <v>5617.3235800000002</v>
      </c>
      <c r="N7">
        <v>0</v>
      </c>
      <c r="O7" t="s">
        <v>293</v>
      </c>
      <c r="U7" t="s">
        <v>292</v>
      </c>
      <c r="V7" t="s">
        <v>141</v>
      </c>
      <c r="W7" t="s">
        <v>152</v>
      </c>
      <c r="X7" t="s">
        <v>192</v>
      </c>
      <c r="AL7" t="s">
        <v>292</v>
      </c>
      <c r="AP7" t="s">
        <v>147</v>
      </c>
      <c r="AQ7" t="s">
        <v>147</v>
      </c>
      <c r="AR7" t="s">
        <v>147</v>
      </c>
      <c r="AT7" t="s">
        <v>147</v>
      </c>
      <c r="AU7" t="s">
        <v>147</v>
      </c>
      <c r="AV7" t="s">
        <v>147</v>
      </c>
      <c r="AX7" t="s">
        <v>147</v>
      </c>
      <c r="AY7" t="s">
        <v>147</v>
      </c>
      <c r="BA7" t="s">
        <v>141</v>
      </c>
      <c r="BM7" t="s">
        <v>292</v>
      </c>
      <c r="BZ7" t="s">
        <v>292</v>
      </c>
      <c r="CL7" t="s">
        <v>193</v>
      </c>
      <c r="CM7" t="s">
        <v>194</v>
      </c>
      <c r="CN7" t="s">
        <v>195</v>
      </c>
    </row>
    <row r="8" spans="1:92" x14ac:dyDescent="0.2">
      <c r="A8">
        <v>736</v>
      </c>
      <c r="B8" t="s">
        <v>141</v>
      </c>
      <c r="C8" t="s">
        <v>76</v>
      </c>
      <c r="D8" t="s">
        <v>341</v>
      </c>
      <c r="E8">
        <v>72000</v>
      </c>
      <c r="F8" t="s">
        <v>141</v>
      </c>
      <c r="G8">
        <v>0</v>
      </c>
      <c r="H8">
        <v>50</v>
      </c>
      <c r="I8">
        <v>50</v>
      </c>
      <c r="J8">
        <v>0</v>
      </c>
      <c r="K8">
        <v>0</v>
      </c>
      <c r="L8">
        <v>1561.9875</v>
      </c>
      <c r="M8">
        <v>1561.9875</v>
      </c>
      <c r="N8">
        <v>0</v>
      </c>
      <c r="O8" t="s">
        <v>293</v>
      </c>
      <c r="Q8">
        <v>57.599999999999994</v>
      </c>
      <c r="R8">
        <v>0</v>
      </c>
      <c r="T8" t="s">
        <v>141</v>
      </c>
      <c r="U8" t="s">
        <v>293</v>
      </c>
      <c r="V8" t="s">
        <v>141</v>
      </c>
      <c r="W8" t="s">
        <v>141</v>
      </c>
      <c r="AL8" t="s">
        <v>293</v>
      </c>
      <c r="AR8" t="s">
        <v>147</v>
      </c>
      <c r="AT8" t="s">
        <v>147</v>
      </c>
      <c r="AV8" t="s">
        <v>147</v>
      </c>
      <c r="AX8" t="s">
        <v>147</v>
      </c>
      <c r="AY8" t="s">
        <v>147</v>
      </c>
      <c r="BA8" t="s">
        <v>141</v>
      </c>
      <c r="BM8" t="s">
        <v>292</v>
      </c>
      <c r="BP8">
        <v>0</v>
      </c>
      <c r="BY8" t="s">
        <v>141</v>
      </c>
      <c r="BZ8" t="s">
        <v>293</v>
      </c>
      <c r="CB8" t="s">
        <v>152</v>
      </c>
      <c r="CD8" t="s">
        <v>141</v>
      </c>
      <c r="CE8">
        <v>0</v>
      </c>
      <c r="CL8" t="s">
        <v>196</v>
      </c>
    </row>
    <row r="9" spans="1:92" x14ac:dyDescent="0.2">
      <c r="A9">
        <v>741</v>
      </c>
      <c r="B9" t="s">
        <v>141</v>
      </c>
      <c r="C9" t="s">
        <v>76</v>
      </c>
      <c r="D9" t="s">
        <v>341</v>
      </c>
      <c r="E9">
        <v>27840</v>
      </c>
      <c r="F9" t="s">
        <v>141</v>
      </c>
      <c r="G9">
        <v>30.29969807874814</v>
      </c>
      <c r="H9">
        <v>69.700301921251864</v>
      </c>
      <c r="I9">
        <v>0</v>
      </c>
      <c r="J9">
        <v>0</v>
      </c>
      <c r="K9">
        <v>366.00126398148785</v>
      </c>
      <c r="L9">
        <v>841.9357360185121</v>
      </c>
      <c r="M9">
        <v>0</v>
      </c>
      <c r="N9">
        <v>0</v>
      </c>
      <c r="O9" t="s">
        <v>293</v>
      </c>
      <c r="Q9">
        <v>24</v>
      </c>
      <c r="T9" t="s">
        <v>141</v>
      </c>
      <c r="U9" t="s">
        <v>293</v>
      </c>
      <c r="V9" t="s">
        <v>141</v>
      </c>
      <c r="W9" t="s">
        <v>141</v>
      </c>
      <c r="Z9">
        <v>0</v>
      </c>
      <c r="AA9">
        <v>95</v>
      </c>
      <c r="AB9">
        <v>0</v>
      </c>
      <c r="AC9">
        <v>0</v>
      </c>
      <c r="AD9">
        <v>5</v>
      </c>
      <c r="AE9">
        <v>0</v>
      </c>
      <c r="AF9">
        <v>0</v>
      </c>
      <c r="AG9">
        <v>347.70120078241342</v>
      </c>
      <c r="AH9">
        <v>0</v>
      </c>
      <c r="AI9">
        <v>0</v>
      </c>
      <c r="AJ9">
        <v>18.300063199074394</v>
      </c>
      <c r="AK9">
        <v>0</v>
      </c>
      <c r="AL9" t="s">
        <v>293</v>
      </c>
      <c r="AP9" t="s">
        <v>147</v>
      </c>
      <c r="AQ9" t="s">
        <v>147</v>
      </c>
      <c r="AR9" t="s">
        <v>147</v>
      </c>
      <c r="AT9" t="s">
        <v>147</v>
      </c>
      <c r="AV9" t="s">
        <v>147</v>
      </c>
      <c r="BA9" t="s">
        <v>152</v>
      </c>
      <c r="BM9" t="s">
        <v>292</v>
      </c>
      <c r="BY9" t="s">
        <v>141</v>
      </c>
      <c r="BZ9" t="s">
        <v>293</v>
      </c>
      <c r="CB9" t="s">
        <v>152</v>
      </c>
      <c r="CL9" t="s">
        <v>197</v>
      </c>
      <c r="CM9" t="s">
        <v>198</v>
      </c>
      <c r="CN9" t="s">
        <v>199</v>
      </c>
    </row>
    <row r="10" spans="1:92" x14ac:dyDescent="0.2">
      <c r="A10">
        <v>742</v>
      </c>
      <c r="B10" t="s">
        <v>141</v>
      </c>
      <c r="C10" t="s">
        <v>76</v>
      </c>
      <c r="D10" t="s">
        <v>341</v>
      </c>
      <c r="E10">
        <v>2585</v>
      </c>
      <c r="G10">
        <v>25</v>
      </c>
      <c r="H10">
        <v>65</v>
      </c>
      <c r="I10">
        <v>5</v>
      </c>
      <c r="J10">
        <v>5</v>
      </c>
      <c r="K10">
        <v>646.25</v>
      </c>
      <c r="L10">
        <v>1680.25</v>
      </c>
      <c r="M10">
        <v>129.25</v>
      </c>
      <c r="N10">
        <v>129.25</v>
      </c>
      <c r="O10" t="s">
        <v>293</v>
      </c>
      <c r="P10">
        <v>53</v>
      </c>
      <c r="Q10">
        <v>0</v>
      </c>
      <c r="R10">
        <v>23</v>
      </c>
      <c r="S10">
        <v>0</v>
      </c>
      <c r="U10" t="s">
        <v>292</v>
      </c>
      <c r="V10" t="s">
        <v>75</v>
      </c>
      <c r="W10" t="s">
        <v>200</v>
      </c>
      <c r="Z10">
        <v>10</v>
      </c>
      <c r="AA10">
        <v>50</v>
      </c>
      <c r="AB10">
        <v>10</v>
      </c>
      <c r="AC10">
        <v>10</v>
      </c>
      <c r="AD10">
        <v>10</v>
      </c>
      <c r="AE10">
        <v>10</v>
      </c>
      <c r="AF10">
        <v>64.625</v>
      </c>
      <c r="AG10">
        <v>323.125</v>
      </c>
      <c r="AH10">
        <v>64.625</v>
      </c>
      <c r="AI10">
        <v>64.625</v>
      </c>
      <c r="AJ10">
        <v>64.625</v>
      </c>
      <c r="AK10">
        <v>64.625</v>
      </c>
      <c r="AL10" t="s">
        <v>293</v>
      </c>
      <c r="AQ10" t="s">
        <v>147</v>
      </c>
      <c r="AR10" t="s">
        <v>147</v>
      </c>
      <c r="AT10" t="s">
        <v>147</v>
      </c>
      <c r="BA10" t="s">
        <v>141</v>
      </c>
      <c r="BC10">
        <v>100</v>
      </c>
      <c r="BD10">
        <v>0</v>
      </c>
      <c r="BE10">
        <v>0</v>
      </c>
      <c r="BF10">
        <v>0</v>
      </c>
      <c r="BG10">
        <v>0</v>
      </c>
      <c r="BH10">
        <v>129.25</v>
      </c>
      <c r="BI10">
        <v>0</v>
      </c>
      <c r="BJ10">
        <v>0</v>
      </c>
      <c r="BK10">
        <v>0</v>
      </c>
      <c r="BL10">
        <v>0</v>
      </c>
      <c r="BM10" t="s">
        <v>293</v>
      </c>
      <c r="BY10" t="s">
        <v>141</v>
      </c>
      <c r="BZ10" t="s">
        <v>293</v>
      </c>
      <c r="CB10" t="s">
        <v>152</v>
      </c>
      <c r="CL10" t="s">
        <v>201</v>
      </c>
      <c r="CM10" t="s">
        <v>202</v>
      </c>
      <c r="CN10" t="s">
        <v>203</v>
      </c>
    </row>
    <row r="11" spans="1:92" x14ac:dyDescent="0.2">
      <c r="A11">
        <v>744</v>
      </c>
      <c r="B11" t="s">
        <v>75</v>
      </c>
      <c r="C11" t="s">
        <v>76</v>
      </c>
      <c r="D11" t="s">
        <v>341</v>
      </c>
      <c r="E11">
        <v>5000</v>
      </c>
      <c r="G11">
        <v>25</v>
      </c>
      <c r="H11">
        <v>50</v>
      </c>
      <c r="I11">
        <v>25</v>
      </c>
      <c r="J11">
        <v>0</v>
      </c>
      <c r="K11">
        <v>1250</v>
      </c>
      <c r="L11">
        <v>2500</v>
      </c>
      <c r="M11">
        <v>1250</v>
      </c>
      <c r="N11">
        <v>0</v>
      </c>
      <c r="O11" t="s">
        <v>293</v>
      </c>
      <c r="P11">
        <v>56</v>
      </c>
      <c r="Q11">
        <v>56</v>
      </c>
      <c r="R11">
        <v>24</v>
      </c>
      <c r="S11">
        <v>24</v>
      </c>
      <c r="U11" t="s">
        <v>293</v>
      </c>
      <c r="V11" t="s">
        <v>75</v>
      </c>
      <c r="W11" t="s">
        <v>75</v>
      </c>
      <c r="Z11">
        <v>2</v>
      </c>
      <c r="AA11">
        <v>50</v>
      </c>
      <c r="AB11">
        <v>48</v>
      </c>
      <c r="AC11">
        <v>0</v>
      </c>
      <c r="AD11">
        <v>0</v>
      </c>
      <c r="AE11">
        <v>0</v>
      </c>
      <c r="AF11">
        <v>25</v>
      </c>
      <c r="AG11">
        <v>625</v>
      </c>
      <c r="AH11">
        <v>600</v>
      </c>
      <c r="AI11">
        <v>0</v>
      </c>
      <c r="AJ11">
        <v>0</v>
      </c>
      <c r="AK11">
        <v>0</v>
      </c>
      <c r="AL11" t="s">
        <v>293</v>
      </c>
      <c r="AP11" t="s">
        <v>147</v>
      </c>
      <c r="AR11" t="s">
        <v>147</v>
      </c>
      <c r="AX11" t="s">
        <v>147</v>
      </c>
      <c r="AY11" t="s">
        <v>147</v>
      </c>
      <c r="BA11" t="s">
        <v>75</v>
      </c>
      <c r="BC11">
        <v>80</v>
      </c>
      <c r="BD11">
        <v>10</v>
      </c>
      <c r="BE11">
        <v>5</v>
      </c>
      <c r="BF11">
        <v>5</v>
      </c>
      <c r="BG11">
        <v>0</v>
      </c>
      <c r="BH11">
        <v>1000</v>
      </c>
      <c r="BI11">
        <v>125</v>
      </c>
      <c r="BJ11">
        <v>62.5</v>
      </c>
      <c r="BK11">
        <v>62.5</v>
      </c>
      <c r="BL11">
        <v>0</v>
      </c>
      <c r="BM11" t="s">
        <v>293</v>
      </c>
      <c r="BP11">
        <v>0</v>
      </c>
      <c r="BX11" t="s">
        <v>204</v>
      </c>
      <c r="BZ11" t="s">
        <v>293</v>
      </c>
      <c r="CB11" t="s">
        <v>74</v>
      </c>
      <c r="CL11" t="s">
        <v>205</v>
      </c>
    </row>
    <row r="12" spans="1:92" x14ac:dyDescent="0.2">
      <c r="A12">
        <v>753</v>
      </c>
      <c r="B12" t="s">
        <v>141</v>
      </c>
      <c r="C12" t="s">
        <v>76</v>
      </c>
      <c r="D12" t="s">
        <v>341</v>
      </c>
      <c r="E12">
        <v>1417.9</v>
      </c>
      <c r="G12">
        <v>0</v>
      </c>
      <c r="H12">
        <v>99</v>
      </c>
      <c r="I12">
        <v>0</v>
      </c>
      <c r="J12">
        <v>1</v>
      </c>
      <c r="K12">
        <v>0</v>
      </c>
      <c r="L12">
        <v>1403.721</v>
      </c>
      <c r="M12">
        <v>0</v>
      </c>
      <c r="N12">
        <v>14.179000000000002</v>
      </c>
      <c r="O12" t="s">
        <v>293</v>
      </c>
      <c r="P12">
        <v>105.6</v>
      </c>
      <c r="Q12">
        <v>52.8</v>
      </c>
      <c r="R12">
        <v>12</v>
      </c>
      <c r="S12">
        <v>0</v>
      </c>
      <c r="T12" t="s">
        <v>141</v>
      </c>
      <c r="U12" t="s">
        <v>293</v>
      </c>
      <c r="V12" t="s">
        <v>75</v>
      </c>
      <c r="W12" t="s">
        <v>75</v>
      </c>
      <c r="X12" t="s">
        <v>206</v>
      </c>
      <c r="AL12" t="s">
        <v>292</v>
      </c>
      <c r="AQ12" t="s">
        <v>147</v>
      </c>
      <c r="AT12" t="s">
        <v>147</v>
      </c>
      <c r="AV12" t="s">
        <v>151</v>
      </c>
      <c r="AX12" t="s">
        <v>147</v>
      </c>
      <c r="BA12" t="s">
        <v>141</v>
      </c>
      <c r="BM12" t="s">
        <v>292</v>
      </c>
      <c r="BP12">
        <v>0</v>
      </c>
      <c r="BX12" t="s">
        <v>207</v>
      </c>
      <c r="BZ12" t="s">
        <v>293</v>
      </c>
      <c r="CB12" t="s">
        <v>304</v>
      </c>
      <c r="CC12" t="s">
        <v>208</v>
      </c>
      <c r="CD12" t="s">
        <v>75</v>
      </c>
      <c r="CE12">
        <v>-0.1</v>
      </c>
      <c r="CL12" t="s">
        <v>209</v>
      </c>
      <c r="CN12" t="s">
        <v>210</v>
      </c>
    </row>
    <row r="13" spans="1:92" x14ac:dyDescent="0.2">
      <c r="A13">
        <v>755</v>
      </c>
      <c r="B13" t="s">
        <v>141</v>
      </c>
      <c r="C13" t="s">
        <v>76</v>
      </c>
      <c r="D13" t="s">
        <v>341</v>
      </c>
      <c r="E13">
        <v>964</v>
      </c>
      <c r="G13">
        <v>0</v>
      </c>
      <c r="H13">
        <v>100</v>
      </c>
      <c r="I13">
        <v>0</v>
      </c>
      <c r="J13">
        <v>0</v>
      </c>
      <c r="K13">
        <v>0</v>
      </c>
      <c r="L13">
        <v>964</v>
      </c>
      <c r="M13">
        <v>0</v>
      </c>
      <c r="N13">
        <v>0</v>
      </c>
      <c r="O13" t="s">
        <v>293</v>
      </c>
      <c r="P13">
        <v>118.08</v>
      </c>
      <c r="U13" t="s">
        <v>293</v>
      </c>
      <c r="V13" t="s">
        <v>141</v>
      </c>
      <c r="W13" t="s">
        <v>141</v>
      </c>
      <c r="AL13" t="s">
        <v>292</v>
      </c>
      <c r="AR13" t="s">
        <v>147</v>
      </c>
      <c r="AT13" t="s">
        <v>147</v>
      </c>
      <c r="BA13" t="s">
        <v>146</v>
      </c>
      <c r="BM13" t="s">
        <v>292</v>
      </c>
      <c r="BY13" t="s">
        <v>141</v>
      </c>
      <c r="BZ13" t="s">
        <v>293</v>
      </c>
      <c r="CL13" t="s">
        <v>211</v>
      </c>
    </row>
    <row r="14" spans="1:92" x14ac:dyDescent="0.2">
      <c r="A14">
        <v>760</v>
      </c>
      <c r="B14" t="s">
        <v>75</v>
      </c>
      <c r="C14" t="s">
        <v>76</v>
      </c>
      <c r="D14" t="s">
        <v>341</v>
      </c>
      <c r="E14">
        <v>1601</v>
      </c>
      <c r="G14">
        <v>0</v>
      </c>
      <c r="H14">
        <v>99</v>
      </c>
      <c r="I14">
        <v>0</v>
      </c>
      <c r="J14">
        <v>1</v>
      </c>
      <c r="K14">
        <v>0</v>
      </c>
      <c r="L14">
        <v>1584.99</v>
      </c>
      <c r="M14">
        <v>0</v>
      </c>
      <c r="N14">
        <v>16.010000000000002</v>
      </c>
      <c r="O14" t="s">
        <v>293</v>
      </c>
      <c r="P14">
        <v>5</v>
      </c>
      <c r="Q14">
        <v>5</v>
      </c>
      <c r="R14">
        <v>5</v>
      </c>
      <c r="S14">
        <v>5</v>
      </c>
      <c r="U14" t="s">
        <v>293</v>
      </c>
      <c r="V14" t="s">
        <v>75</v>
      </c>
      <c r="W14" t="s">
        <v>75</v>
      </c>
      <c r="AL14" t="s">
        <v>292</v>
      </c>
      <c r="AT14" t="s">
        <v>147</v>
      </c>
      <c r="BA14" t="s">
        <v>152</v>
      </c>
      <c r="BM14" t="s">
        <v>292</v>
      </c>
      <c r="BZ14" t="s">
        <v>292</v>
      </c>
      <c r="CL14" t="s">
        <v>78</v>
      </c>
    </row>
    <row r="15" spans="1:92" x14ac:dyDescent="0.2">
      <c r="A15">
        <v>766</v>
      </c>
      <c r="B15" t="s">
        <v>75</v>
      </c>
      <c r="C15" t="s">
        <v>76</v>
      </c>
      <c r="D15" t="s">
        <v>341</v>
      </c>
      <c r="E15">
        <v>953</v>
      </c>
      <c r="O15" t="s">
        <v>292</v>
      </c>
      <c r="U15" t="s">
        <v>292</v>
      </c>
      <c r="V15" t="s">
        <v>74</v>
      </c>
      <c r="AL15" t="s">
        <v>292</v>
      </c>
      <c r="AP15" t="s">
        <v>147</v>
      </c>
      <c r="AR15" t="s">
        <v>147</v>
      </c>
      <c r="AT15" t="s">
        <v>147</v>
      </c>
      <c r="BA15" t="s">
        <v>152</v>
      </c>
      <c r="BM15" t="s">
        <v>292</v>
      </c>
      <c r="BZ15" t="s">
        <v>292</v>
      </c>
    </row>
    <row r="16" spans="1:92" x14ac:dyDescent="0.2">
      <c r="A16">
        <v>2184</v>
      </c>
      <c r="B16" t="s">
        <v>141</v>
      </c>
      <c r="C16" t="s">
        <v>218</v>
      </c>
      <c r="D16" t="s">
        <v>341</v>
      </c>
      <c r="E16">
        <v>5500</v>
      </c>
      <c r="G16">
        <v>10</v>
      </c>
      <c r="H16">
        <v>90</v>
      </c>
      <c r="I16">
        <v>0</v>
      </c>
      <c r="J16">
        <v>0</v>
      </c>
      <c r="K16">
        <v>550</v>
      </c>
      <c r="L16">
        <v>4950</v>
      </c>
      <c r="M16">
        <v>0</v>
      </c>
      <c r="N16">
        <v>0</v>
      </c>
      <c r="O16" t="s">
        <v>293</v>
      </c>
      <c r="P16">
        <v>15</v>
      </c>
      <c r="R16">
        <v>5</v>
      </c>
      <c r="S16">
        <v>5</v>
      </c>
      <c r="U16" t="s">
        <v>293</v>
      </c>
      <c r="V16" t="s">
        <v>75</v>
      </c>
      <c r="W16" t="s">
        <v>75</v>
      </c>
      <c r="Z16">
        <v>0</v>
      </c>
      <c r="AA16">
        <v>90</v>
      </c>
      <c r="AB16">
        <v>0</v>
      </c>
      <c r="AC16">
        <v>0</v>
      </c>
      <c r="AD16">
        <v>10</v>
      </c>
      <c r="AE16">
        <v>0</v>
      </c>
      <c r="AF16">
        <v>0</v>
      </c>
      <c r="AG16">
        <v>495</v>
      </c>
      <c r="AH16">
        <v>0</v>
      </c>
      <c r="AI16">
        <v>0</v>
      </c>
      <c r="AJ16">
        <v>55</v>
      </c>
      <c r="AK16">
        <v>0</v>
      </c>
      <c r="AL16" t="s">
        <v>293</v>
      </c>
      <c r="AS16" t="s">
        <v>147</v>
      </c>
      <c r="AT16" t="s">
        <v>147</v>
      </c>
      <c r="AU16" t="s">
        <v>147</v>
      </c>
      <c r="AV16" t="s">
        <v>147</v>
      </c>
      <c r="AW16" t="s">
        <v>147</v>
      </c>
      <c r="AX16" t="s">
        <v>147</v>
      </c>
      <c r="AY16" t="s">
        <v>147</v>
      </c>
      <c r="BA16" t="s">
        <v>152</v>
      </c>
      <c r="BM16" t="s">
        <v>292</v>
      </c>
      <c r="BZ16" t="s">
        <v>292</v>
      </c>
      <c r="CL16" t="s">
        <v>219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N16"/>
  <sheetViews>
    <sheetView workbookViewId="0">
      <selection activeCell="G21" sqref="G21"/>
    </sheetView>
  </sheetViews>
  <sheetFormatPr baseColWidth="10" defaultColWidth="8.83203125" defaultRowHeight="15" x14ac:dyDescent="0.2"/>
  <sheetData>
    <row r="1" spans="1:92" x14ac:dyDescent="0.2">
      <c r="E1" t="s">
        <v>231</v>
      </c>
      <c r="G1" t="s">
        <v>233</v>
      </c>
      <c r="P1" t="s">
        <v>242</v>
      </c>
      <c r="V1" t="s">
        <v>248</v>
      </c>
      <c r="W1" t="s">
        <v>249</v>
      </c>
      <c r="Z1" t="s">
        <v>276</v>
      </c>
      <c r="AP1" t="s">
        <v>277</v>
      </c>
      <c r="BA1" t="s">
        <v>278</v>
      </c>
      <c r="BC1" t="s">
        <v>275</v>
      </c>
      <c r="BP1" t="s">
        <v>315</v>
      </c>
      <c r="BQ1" t="s">
        <v>281</v>
      </c>
      <c r="CB1" t="s">
        <v>288</v>
      </c>
      <c r="CD1" t="s">
        <v>289</v>
      </c>
      <c r="CF1" t="s">
        <v>290</v>
      </c>
    </row>
    <row r="2" spans="1:92" x14ac:dyDescent="0.2">
      <c r="A2" t="s">
        <v>150</v>
      </c>
      <c r="B2" t="s">
        <v>1</v>
      </c>
      <c r="C2" t="s">
        <v>2</v>
      </c>
      <c r="D2" t="s">
        <v>230</v>
      </c>
      <c r="E2" t="s">
        <v>232</v>
      </c>
      <c r="F2" t="s">
        <v>294</v>
      </c>
      <c r="G2" t="s">
        <v>234</v>
      </c>
      <c r="H2" t="s">
        <v>235</v>
      </c>
      <c r="I2" t="s">
        <v>236</v>
      </c>
      <c r="J2" t="s">
        <v>237</v>
      </c>
      <c r="K2" t="s">
        <v>238</v>
      </c>
      <c r="L2" t="s">
        <v>239</v>
      </c>
      <c r="M2" t="s">
        <v>240</v>
      </c>
      <c r="N2" t="s">
        <v>241</v>
      </c>
      <c r="O2" t="s">
        <v>291</v>
      </c>
      <c r="P2" t="s">
        <v>243</v>
      </c>
      <c r="Q2" t="s">
        <v>244</v>
      </c>
      <c r="R2" t="s">
        <v>245</v>
      </c>
      <c r="S2" t="s">
        <v>246</v>
      </c>
      <c r="T2" t="s">
        <v>296</v>
      </c>
      <c r="U2" t="s">
        <v>295</v>
      </c>
      <c r="V2" t="s">
        <v>247</v>
      </c>
      <c r="W2" t="s">
        <v>250</v>
      </c>
      <c r="X2" t="s">
        <v>18</v>
      </c>
      <c r="Z2" t="s">
        <v>251</v>
      </c>
      <c r="AA2" t="s">
        <v>252</v>
      </c>
      <c r="AB2" t="s">
        <v>253</v>
      </c>
      <c r="AC2" t="s">
        <v>254</v>
      </c>
      <c r="AD2" t="s">
        <v>255</v>
      </c>
      <c r="AE2" t="s">
        <v>256</v>
      </c>
      <c r="AF2" t="s">
        <v>257</v>
      </c>
      <c r="AG2" t="s">
        <v>258</v>
      </c>
      <c r="AH2" t="s">
        <v>259</v>
      </c>
      <c r="AI2" t="s">
        <v>260</v>
      </c>
      <c r="AJ2" t="s">
        <v>261</v>
      </c>
      <c r="AK2" t="s">
        <v>262</v>
      </c>
      <c r="AL2" t="s">
        <v>298</v>
      </c>
      <c r="AM2" t="s">
        <v>299</v>
      </c>
      <c r="AP2" t="s">
        <v>263</v>
      </c>
      <c r="AQ2" t="s">
        <v>264</v>
      </c>
      <c r="AR2" t="s">
        <v>265</v>
      </c>
      <c r="AS2" t="s">
        <v>266</v>
      </c>
      <c r="AT2" t="s">
        <v>267</v>
      </c>
      <c r="AU2" t="s">
        <v>268</v>
      </c>
      <c r="AV2" t="s">
        <v>269</v>
      </c>
      <c r="AW2" t="s">
        <v>270</v>
      </c>
      <c r="AX2" t="s">
        <v>271</v>
      </c>
      <c r="AY2" t="s">
        <v>272</v>
      </c>
      <c r="BA2" t="s">
        <v>273</v>
      </c>
      <c r="BC2" t="s">
        <v>274</v>
      </c>
      <c r="BD2" t="s">
        <v>252</v>
      </c>
      <c r="BE2" t="s">
        <v>253</v>
      </c>
      <c r="BF2" t="s">
        <v>279</v>
      </c>
      <c r="BG2" t="s">
        <v>256</v>
      </c>
      <c r="BH2" t="s">
        <v>257</v>
      </c>
      <c r="BI2" t="s">
        <v>258</v>
      </c>
      <c r="BJ2" t="s">
        <v>259</v>
      </c>
      <c r="BK2" t="s">
        <v>261</v>
      </c>
      <c r="BL2" t="s">
        <v>262</v>
      </c>
      <c r="BM2" t="s">
        <v>300</v>
      </c>
      <c r="BN2" t="s">
        <v>301</v>
      </c>
      <c r="BP2" t="s">
        <v>280</v>
      </c>
      <c r="BQ2" t="s">
        <v>282</v>
      </c>
      <c r="BR2" t="s">
        <v>283</v>
      </c>
      <c r="BS2" t="s">
        <v>284</v>
      </c>
      <c r="BT2" t="s">
        <v>285</v>
      </c>
      <c r="BU2" t="s">
        <v>286</v>
      </c>
      <c r="BV2" t="s">
        <v>287</v>
      </c>
      <c r="BW2" t="s">
        <v>59</v>
      </c>
      <c r="BX2" t="s">
        <v>60</v>
      </c>
      <c r="BY2" t="s">
        <v>303</v>
      </c>
      <c r="BZ2" t="s">
        <v>302</v>
      </c>
      <c r="CB2" t="s">
        <v>61</v>
      </c>
      <c r="CC2" t="s">
        <v>62</v>
      </c>
      <c r="CD2" t="s">
        <v>63</v>
      </c>
      <c r="CE2" t="s">
        <v>64</v>
      </c>
      <c r="CF2" t="s">
        <v>65</v>
      </c>
      <c r="CG2" t="s">
        <v>66</v>
      </c>
      <c r="CH2" t="s">
        <v>67</v>
      </c>
      <c r="CI2" t="s">
        <v>68</v>
      </c>
      <c r="CJ2" t="s">
        <v>69</v>
      </c>
      <c r="CK2" t="s">
        <v>70</v>
      </c>
      <c r="CL2" t="s">
        <v>71</v>
      </c>
      <c r="CM2" t="s">
        <v>72</v>
      </c>
      <c r="CN2" t="s">
        <v>73</v>
      </c>
    </row>
    <row r="3" spans="1:92" x14ac:dyDescent="0.2">
      <c r="A3">
        <v>457</v>
      </c>
      <c r="B3" t="s">
        <v>75</v>
      </c>
      <c r="C3" t="s">
        <v>76</v>
      </c>
      <c r="D3" t="s">
        <v>341</v>
      </c>
      <c r="E3">
        <v>61387.199999999997</v>
      </c>
      <c r="F3" t="s">
        <v>141</v>
      </c>
      <c r="G3">
        <v>0</v>
      </c>
      <c r="H3">
        <v>100</v>
      </c>
      <c r="I3">
        <v>0</v>
      </c>
      <c r="J3">
        <v>0</v>
      </c>
      <c r="K3">
        <v>0</v>
      </c>
      <c r="L3">
        <v>2663.5010849999999</v>
      </c>
      <c r="M3">
        <v>0</v>
      </c>
      <c r="N3">
        <v>0</v>
      </c>
      <c r="O3" t="s">
        <v>293</v>
      </c>
      <c r="P3">
        <v>6</v>
      </c>
      <c r="T3" t="s">
        <v>297</v>
      </c>
      <c r="U3" t="s">
        <v>293</v>
      </c>
      <c r="V3" t="s">
        <v>75</v>
      </c>
      <c r="W3" t="s">
        <v>75</v>
      </c>
      <c r="AL3" t="s">
        <v>292</v>
      </c>
      <c r="BA3" t="s">
        <v>152</v>
      </c>
      <c r="BM3" t="s">
        <v>292</v>
      </c>
      <c r="BZ3" t="s">
        <v>292</v>
      </c>
      <c r="CL3" t="s">
        <v>119</v>
      </c>
      <c r="CN3" t="s">
        <v>118</v>
      </c>
    </row>
    <row r="4" spans="1:92" x14ac:dyDescent="0.2">
      <c r="A4">
        <v>482</v>
      </c>
      <c r="B4" t="s">
        <v>75</v>
      </c>
      <c r="C4" t="s">
        <v>76</v>
      </c>
      <c r="D4" t="s">
        <v>341</v>
      </c>
      <c r="E4">
        <v>4862</v>
      </c>
      <c r="G4">
        <v>80</v>
      </c>
      <c r="H4">
        <v>20</v>
      </c>
      <c r="I4">
        <v>0</v>
      </c>
      <c r="J4">
        <v>0</v>
      </c>
      <c r="K4">
        <v>3889.6</v>
      </c>
      <c r="L4">
        <v>972.4</v>
      </c>
      <c r="M4">
        <v>0</v>
      </c>
      <c r="N4">
        <v>0</v>
      </c>
      <c r="O4" t="s">
        <v>293</v>
      </c>
      <c r="P4">
        <v>28</v>
      </c>
      <c r="Q4">
        <v>28</v>
      </c>
      <c r="R4">
        <v>28</v>
      </c>
      <c r="S4">
        <v>25</v>
      </c>
      <c r="U4" t="s">
        <v>293</v>
      </c>
      <c r="V4" t="s">
        <v>75</v>
      </c>
      <c r="W4" t="s">
        <v>75</v>
      </c>
      <c r="Z4">
        <v>0</v>
      </c>
      <c r="AA4">
        <v>74.75</v>
      </c>
      <c r="AB4">
        <v>25.000000000000007</v>
      </c>
      <c r="AC4">
        <v>0</v>
      </c>
      <c r="AD4">
        <v>0.25000000000000006</v>
      </c>
      <c r="AE4">
        <v>0</v>
      </c>
      <c r="AF4">
        <v>0</v>
      </c>
      <c r="AG4">
        <v>2907.4759999999997</v>
      </c>
      <c r="AH4">
        <v>972.40000000000032</v>
      </c>
      <c r="AI4">
        <v>0</v>
      </c>
      <c r="AJ4">
        <v>9.724000000000002</v>
      </c>
      <c r="AK4">
        <v>0</v>
      </c>
      <c r="AL4" t="s">
        <v>293</v>
      </c>
      <c r="AM4" t="s">
        <v>141</v>
      </c>
      <c r="AY4" t="s">
        <v>147</v>
      </c>
      <c r="BA4" t="s">
        <v>75</v>
      </c>
      <c r="BM4" t="s">
        <v>292</v>
      </c>
      <c r="BP4">
        <v>0</v>
      </c>
      <c r="BZ4" t="s">
        <v>292</v>
      </c>
      <c r="CB4" t="s">
        <v>74</v>
      </c>
      <c r="CL4" t="s">
        <v>115</v>
      </c>
      <c r="CM4" t="s">
        <v>116</v>
      </c>
      <c r="CN4" t="s">
        <v>114</v>
      </c>
    </row>
    <row r="5" spans="1:92" x14ac:dyDescent="0.2">
      <c r="A5">
        <v>497</v>
      </c>
      <c r="B5" t="s">
        <v>141</v>
      </c>
      <c r="C5" t="s">
        <v>76</v>
      </c>
      <c r="D5" t="s">
        <v>341</v>
      </c>
      <c r="E5">
        <v>13440</v>
      </c>
      <c r="G5">
        <v>30</v>
      </c>
      <c r="H5">
        <v>20</v>
      </c>
      <c r="I5">
        <v>0</v>
      </c>
      <c r="J5">
        <v>50</v>
      </c>
      <c r="K5">
        <v>174.94260000000003</v>
      </c>
      <c r="L5">
        <v>116.6284</v>
      </c>
      <c r="M5">
        <v>0</v>
      </c>
      <c r="N5">
        <v>291.57100000000003</v>
      </c>
      <c r="O5" t="s">
        <v>293</v>
      </c>
      <c r="P5">
        <v>112.32</v>
      </c>
      <c r="Q5">
        <v>112.32</v>
      </c>
      <c r="R5">
        <v>74.88</v>
      </c>
      <c r="S5">
        <v>74.88</v>
      </c>
      <c r="T5" t="s">
        <v>141</v>
      </c>
      <c r="U5" t="s">
        <v>293</v>
      </c>
      <c r="V5" t="s">
        <v>141</v>
      </c>
      <c r="W5" t="s">
        <v>141</v>
      </c>
      <c r="Z5">
        <v>0</v>
      </c>
      <c r="AA5">
        <v>60</v>
      </c>
      <c r="AB5">
        <v>0</v>
      </c>
      <c r="AC5">
        <v>20</v>
      </c>
      <c r="AD5">
        <v>20</v>
      </c>
      <c r="AE5">
        <v>0</v>
      </c>
      <c r="AF5">
        <v>0</v>
      </c>
      <c r="AG5">
        <v>104.96556000000002</v>
      </c>
      <c r="AH5">
        <v>0</v>
      </c>
      <c r="AI5">
        <v>34.988520000000008</v>
      </c>
      <c r="AJ5">
        <v>34.988520000000008</v>
      </c>
      <c r="AK5">
        <v>0</v>
      </c>
      <c r="AL5" t="s">
        <v>293</v>
      </c>
      <c r="AT5" t="s">
        <v>147</v>
      </c>
      <c r="AU5" t="s">
        <v>147</v>
      </c>
      <c r="AW5" t="s">
        <v>147</v>
      </c>
      <c r="BA5" t="s">
        <v>152</v>
      </c>
      <c r="BM5" t="s">
        <v>292</v>
      </c>
      <c r="BZ5" t="s">
        <v>292</v>
      </c>
      <c r="CL5" t="s">
        <v>176</v>
      </c>
      <c r="CM5" t="s">
        <v>177</v>
      </c>
      <c r="CN5" t="s">
        <v>178</v>
      </c>
    </row>
    <row r="6" spans="1:92" x14ac:dyDescent="0.2">
      <c r="A6">
        <v>733</v>
      </c>
      <c r="B6" t="s">
        <v>141</v>
      </c>
      <c r="C6" t="s">
        <v>343</v>
      </c>
      <c r="D6" t="s">
        <v>341</v>
      </c>
      <c r="E6">
        <v>37203</v>
      </c>
      <c r="G6">
        <v>0</v>
      </c>
      <c r="H6">
        <v>95.380079476990133</v>
      </c>
      <c r="I6">
        <v>0</v>
      </c>
      <c r="J6">
        <v>4.6199205230098705</v>
      </c>
      <c r="K6">
        <v>0</v>
      </c>
      <c r="L6">
        <v>35484.250967824642</v>
      </c>
      <c r="M6">
        <v>0</v>
      </c>
      <c r="N6">
        <v>1718.7490321753623</v>
      </c>
      <c r="O6" t="s">
        <v>293</v>
      </c>
      <c r="P6">
        <v>57</v>
      </c>
      <c r="T6" t="s">
        <v>297</v>
      </c>
      <c r="U6" t="s">
        <v>293</v>
      </c>
      <c r="V6" t="s">
        <v>141</v>
      </c>
      <c r="W6" t="s">
        <v>141</v>
      </c>
      <c r="AL6" t="s">
        <v>292</v>
      </c>
      <c r="AT6" t="s">
        <v>147</v>
      </c>
      <c r="AU6" t="s">
        <v>147</v>
      </c>
      <c r="AV6" t="s">
        <v>151</v>
      </c>
      <c r="BA6" t="s">
        <v>141</v>
      </c>
      <c r="BM6" t="s">
        <v>292</v>
      </c>
      <c r="BP6">
        <v>50</v>
      </c>
      <c r="BY6" t="s">
        <v>141</v>
      </c>
      <c r="BZ6" t="s">
        <v>293</v>
      </c>
      <c r="CB6" t="s">
        <v>304</v>
      </c>
      <c r="CC6" t="s">
        <v>190</v>
      </c>
      <c r="CD6" t="s">
        <v>75</v>
      </c>
      <c r="CE6">
        <v>0</v>
      </c>
      <c r="CL6" t="s">
        <v>191</v>
      </c>
    </row>
    <row r="7" spans="1:92" x14ac:dyDescent="0.2">
      <c r="A7">
        <v>735</v>
      </c>
      <c r="B7" t="s">
        <v>141</v>
      </c>
      <c r="C7" t="s">
        <v>76</v>
      </c>
      <c r="D7" t="s">
        <v>341</v>
      </c>
      <c r="E7">
        <v>129465.59999999999</v>
      </c>
      <c r="F7" t="s">
        <v>141</v>
      </c>
      <c r="G7">
        <v>0</v>
      </c>
      <c r="H7">
        <v>0</v>
      </c>
      <c r="I7">
        <v>100</v>
      </c>
      <c r="J7">
        <v>0</v>
      </c>
      <c r="K7">
        <v>0</v>
      </c>
      <c r="L7">
        <v>0</v>
      </c>
      <c r="M7">
        <v>5617.3235800000002</v>
      </c>
      <c r="N7">
        <v>0</v>
      </c>
      <c r="O7" t="s">
        <v>293</v>
      </c>
      <c r="U7" t="s">
        <v>292</v>
      </c>
      <c r="V7" t="s">
        <v>141</v>
      </c>
      <c r="W7" t="s">
        <v>152</v>
      </c>
      <c r="X7" t="s">
        <v>192</v>
      </c>
      <c r="AL7" t="s">
        <v>292</v>
      </c>
      <c r="AP7" t="s">
        <v>147</v>
      </c>
      <c r="AQ7" t="s">
        <v>147</v>
      </c>
      <c r="AR7" t="s">
        <v>147</v>
      </c>
      <c r="AT7" t="s">
        <v>147</v>
      </c>
      <c r="AU7" t="s">
        <v>147</v>
      </c>
      <c r="AV7" t="s">
        <v>147</v>
      </c>
      <c r="AX7" t="s">
        <v>147</v>
      </c>
      <c r="AY7" t="s">
        <v>147</v>
      </c>
      <c r="BA7" t="s">
        <v>141</v>
      </c>
      <c r="BM7" t="s">
        <v>292</v>
      </c>
      <c r="BZ7" t="s">
        <v>292</v>
      </c>
      <c r="CL7" t="s">
        <v>193</v>
      </c>
      <c r="CM7" t="s">
        <v>194</v>
      </c>
      <c r="CN7" t="s">
        <v>195</v>
      </c>
    </row>
    <row r="8" spans="1:92" x14ac:dyDescent="0.2">
      <c r="A8">
        <v>736</v>
      </c>
      <c r="B8" t="s">
        <v>141</v>
      </c>
      <c r="C8" t="s">
        <v>76</v>
      </c>
      <c r="D8" t="s">
        <v>341</v>
      </c>
      <c r="E8">
        <v>72000</v>
      </c>
      <c r="F8" t="s">
        <v>141</v>
      </c>
      <c r="G8">
        <v>0</v>
      </c>
      <c r="H8">
        <v>50</v>
      </c>
      <c r="I8">
        <v>50</v>
      </c>
      <c r="J8">
        <v>0</v>
      </c>
      <c r="K8">
        <v>0</v>
      </c>
      <c r="L8">
        <v>1561.9875</v>
      </c>
      <c r="M8">
        <v>1561.9875</v>
      </c>
      <c r="N8">
        <v>0</v>
      </c>
      <c r="O8" t="s">
        <v>293</v>
      </c>
      <c r="Q8">
        <v>57.599999999999994</v>
      </c>
      <c r="R8">
        <v>0</v>
      </c>
      <c r="T8" t="s">
        <v>141</v>
      </c>
      <c r="U8" t="s">
        <v>293</v>
      </c>
      <c r="V8" t="s">
        <v>141</v>
      </c>
      <c r="W8" t="s">
        <v>141</v>
      </c>
      <c r="AL8" t="s">
        <v>293</v>
      </c>
      <c r="AR8" t="s">
        <v>147</v>
      </c>
      <c r="AT8" t="s">
        <v>147</v>
      </c>
      <c r="AV8" t="s">
        <v>147</v>
      </c>
      <c r="AX8" t="s">
        <v>147</v>
      </c>
      <c r="AY8" t="s">
        <v>147</v>
      </c>
      <c r="BA8" t="s">
        <v>141</v>
      </c>
      <c r="BM8" t="s">
        <v>292</v>
      </c>
      <c r="BP8">
        <v>0</v>
      </c>
      <c r="BY8" t="s">
        <v>141</v>
      </c>
      <c r="BZ8" t="s">
        <v>293</v>
      </c>
      <c r="CB8" t="s">
        <v>152</v>
      </c>
      <c r="CD8" t="s">
        <v>141</v>
      </c>
      <c r="CE8">
        <v>0</v>
      </c>
      <c r="CL8" t="s">
        <v>196</v>
      </c>
    </row>
    <row r="9" spans="1:92" x14ac:dyDescent="0.2">
      <c r="A9">
        <v>741</v>
      </c>
      <c r="B9" t="s">
        <v>141</v>
      </c>
      <c r="C9" t="s">
        <v>76</v>
      </c>
      <c r="D9" t="s">
        <v>341</v>
      </c>
      <c r="E9">
        <v>27840</v>
      </c>
      <c r="F9" t="s">
        <v>141</v>
      </c>
      <c r="G9">
        <v>30.29969807874814</v>
      </c>
      <c r="H9">
        <v>69.700301921251864</v>
      </c>
      <c r="I9">
        <v>0</v>
      </c>
      <c r="J9">
        <v>0</v>
      </c>
      <c r="K9">
        <v>366.00126398148785</v>
      </c>
      <c r="L9">
        <v>841.9357360185121</v>
      </c>
      <c r="M9">
        <v>0</v>
      </c>
      <c r="N9">
        <v>0</v>
      </c>
      <c r="O9" t="s">
        <v>293</v>
      </c>
      <c r="Q9">
        <v>24</v>
      </c>
      <c r="T9" t="s">
        <v>141</v>
      </c>
      <c r="U9" t="s">
        <v>293</v>
      </c>
      <c r="V9" t="s">
        <v>141</v>
      </c>
      <c r="W9" t="s">
        <v>141</v>
      </c>
      <c r="Z9">
        <v>0</v>
      </c>
      <c r="AA9">
        <v>95</v>
      </c>
      <c r="AB9">
        <v>0</v>
      </c>
      <c r="AC9">
        <v>0</v>
      </c>
      <c r="AD9">
        <v>5</v>
      </c>
      <c r="AE9">
        <v>0</v>
      </c>
      <c r="AF9">
        <v>0</v>
      </c>
      <c r="AG9">
        <v>347.70120078241342</v>
      </c>
      <c r="AH9">
        <v>0</v>
      </c>
      <c r="AI9">
        <v>0</v>
      </c>
      <c r="AJ9">
        <v>18.300063199074394</v>
      </c>
      <c r="AK9">
        <v>0</v>
      </c>
      <c r="AL9" t="s">
        <v>293</v>
      </c>
      <c r="AP9" t="s">
        <v>147</v>
      </c>
      <c r="AQ9" t="s">
        <v>147</v>
      </c>
      <c r="AR9" t="s">
        <v>147</v>
      </c>
      <c r="AT9" t="s">
        <v>147</v>
      </c>
      <c r="AV9" t="s">
        <v>147</v>
      </c>
      <c r="BA9" t="s">
        <v>152</v>
      </c>
      <c r="BM9" t="s">
        <v>292</v>
      </c>
      <c r="BY9" t="s">
        <v>141</v>
      </c>
      <c r="BZ9" t="s">
        <v>293</v>
      </c>
      <c r="CB9" t="s">
        <v>152</v>
      </c>
      <c r="CL9" t="s">
        <v>197</v>
      </c>
      <c r="CM9" t="s">
        <v>198</v>
      </c>
      <c r="CN9" t="s">
        <v>199</v>
      </c>
    </row>
    <row r="10" spans="1:92" x14ac:dyDescent="0.2">
      <c r="A10">
        <v>742</v>
      </c>
      <c r="B10" t="s">
        <v>141</v>
      </c>
      <c r="C10" t="s">
        <v>76</v>
      </c>
      <c r="D10" t="s">
        <v>341</v>
      </c>
      <c r="E10">
        <v>2585</v>
      </c>
      <c r="G10">
        <v>25</v>
      </c>
      <c r="H10">
        <v>65</v>
      </c>
      <c r="I10">
        <v>5</v>
      </c>
      <c r="J10">
        <v>5</v>
      </c>
      <c r="K10">
        <v>646.25</v>
      </c>
      <c r="L10">
        <v>1680.25</v>
      </c>
      <c r="M10">
        <v>129.25</v>
      </c>
      <c r="N10">
        <v>129.25</v>
      </c>
      <c r="O10" t="s">
        <v>293</v>
      </c>
      <c r="P10">
        <v>53</v>
      </c>
      <c r="Q10">
        <v>0</v>
      </c>
      <c r="R10">
        <v>23</v>
      </c>
      <c r="S10">
        <v>0</v>
      </c>
      <c r="U10" t="s">
        <v>292</v>
      </c>
      <c r="V10" t="s">
        <v>75</v>
      </c>
      <c r="W10" t="s">
        <v>200</v>
      </c>
      <c r="Z10">
        <v>10</v>
      </c>
      <c r="AA10">
        <v>50</v>
      </c>
      <c r="AB10">
        <v>10</v>
      </c>
      <c r="AC10">
        <v>10</v>
      </c>
      <c r="AD10">
        <v>10</v>
      </c>
      <c r="AE10">
        <v>10</v>
      </c>
      <c r="AF10">
        <v>64.625</v>
      </c>
      <c r="AG10">
        <v>323.125</v>
      </c>
      <c r="AH10">
        <v>64.625</v>
      </c>
      <c r="AI10">
        <v>64.625</v>
      </c>
      <c r="AJ10">
        <v>64.625</v>
      </c>
      <c r="AK10">
        <v>64.625</v>
      </c>
      <c r="AL10" t="s">
        <v>293</v>
      </c>
      <c r="AQ10" t="s">
        <v>147</v>
      </c>
      <c r="AR10" t="s">
        <v>147</v>
      </c>
      <c r="AT10" t="s">
        <v>147</v>
      </c>
      <c r="BA10" t="s">
        <v>141</v>
      </c>
      <c r="BC10">
        <v>100</v>
      </c>
      <c r="BD10">
        <v>0</v>
      </c>
      <c r="BE10">
        <v>0</v>
      </c>
      <c r="BF10">
        <v>0</v>
      </c>
      <c r="BG10">
        <v>0</v>
      </c>
      <c r="BH10">
        <v>129.25</v>
      </c>
      <c r="BI10">
        <v>0</v>
      </c>
      <c r="BJ10">
        <v>0</v>
      </c>
      <c r="BK10">
        <v>0</v>
      </c>
      <c r="BL10">
        <v>0</v>
      </c>
      <c r="BM10" t="s">
        <v>293</v>
      </c>
      <c r="BY10" t="s">
        <v>141</v>
      </c>
      <c r="BZ10" t="s">
        <v>293</v>
      </c>
      <c r="CB10" t="s">
        <v>152</v>
      </c>
      <c r="CL10" t="s">
        <v>201</v>
      </c>
      <c r="CM10" t="s">
        <v>202</v>
      </c>
      <c r="CN10" t="s">
        <v>203</v>
      </c>
    </row>
    <row r="11" spans="1:92" x14ac:dyDescent="0.2">
      <c r="A11">
        <v>744</v>
      </c>
      <c r="B11" t="s">
        <v>75</v>
      </c>
      <c r="C11" t="s">
        <v>76</v>
      </c>
      <c r="D11" t="s">
        <v>341</v>
      </c>
      <c r="E11">
        <v>5000</v>
      </c>
      <c r="G11">
        <v>25</v>
      </c>
      <c r="H11">
        <v>50</v>
      </c>
      <c r="I11">
        <v>25</v>
      </c>
      <c r="J11">
        <v>0</v>
      </c>
      <c r="K11">
        <v>1250</v>
      </c>
      <c r="L11">
        <v>2500</v>
      </c>
      <c r="M11">
        <v>1250</v>
      </c>
      <c r="N11">
        <v>0</v>
      </c>
      <c r="O11" t="s">
        <v>293</v>
      </c>
      <c r="P11">
        <v>56</v>
      </c>
      <c r="Q11">
        <v>56</v>
      </c>
      <c r="R11">
        <v>24</v>
      </c>
      <c r="S11">
        <v>24</v>
      </c>
      <c r="U11" t="s">
        <v>293</v>
      </c>
      <c r="V11" t="s">
        <v>75</v>
      </c>
      <c r="W11" t="s">
        <v>75</v>
      </c>
      <c r="Z11">
        <v>2</v>
      </c>
      <c r="AA11">
        <v>50</v>
      </c>
      <c r="AB11">
        <v>48</v>
      </c>
      <c r="AC11">
        <v>0</v>
      </c>
      <c r="AD11">
        <v>0</v>
      </c>
      <c r="AE11">
        <v>0</v>
      </c>
      <c r="AF11">
        <v>25</v>
      </c>
      <c r="AG11">
        <v>625</v>
      </c>
      <c r="AH11">
        <v>600</v>
      </c>
      <c r="AI11">
        <v>0</v>
      </c>
      <c r="AJ11">
        <v>0</v>
      </c>
      <c r="AK11">
        <v>0</v>
      </c>
      <c r="AL11" t="s">
        <v>293</v>
      </c>
      <c r="AP11" t="s">
        <v>147</v>
      </c>
      <c r="AR11" t="s">
        <v>147</v>
      </c>
      <c r="AX11" t="s">
        <v>147</v>
      </c>
      <c r="AY11" t="s">
        <v>147</v>
      </c>
      <c r="BA11" t="s">
        <v>75</v>
      </c>
      <c r="BC11">
        <v>80</v>
      </c>
      <c r="BD11">
        <v>10</v>
      </c>
      <c r="BE11">
        <v>5</v>
      </c>
      <c r="BF11">
        <v>5</v>
      </c>
      <c r="BG11">
        <v>0</v>
      </c>
      <c r="BH11">
        <v>1000</v>
      </c>
      <c r="BI11">
        <v>125</v>
      </c>
      <c r="BJ11">
        <v>62.5</v>
      </c>
      <c r="BK11">
        <v>62.5</v>
      </c>
      <c r="BL11">
        <v>0</v>
      </c>
      <c r="BM11" t="s">
        <v>293</v>
      </c>
      <c r="BP11">
        <v>0</v>
      </c>
      <c r="BX11" t="s">
        <v>204</v>
      </c>
      <c r="BZ11" t="s">
        <v>293</v>
      </c>
      <c r="CB11" t="s">
        <v>74</v>
      </c>
      <c r="CL11" t="s">
        <v>205</v>
      </c>
    </row>
    <row r="12" spans="1:92" x14ac:dyDescent="0.2">
      <c r="A12">
        <v>753</v>
      </c>
      <c r="B12" t="s">
        <v>141</v>
      </c>
      <c r="C12" t="s">
        <v>76</v>
      </c>
      <c r="D12" t="s">
        <v>341</v>
      </c>
      <c r="E12">
        <v>1417.9</v>
      </c>
      <c r="G12">
        <v>0</v>
      </c>
      <c r="H12">
        <v>99</v>
      </c>
      <c r="I12">
        <v>0</v>
      </c>
      <c r="J12">
        <v>1</v>
      </c>
      <c r="K12">
        <v>0</v>
      </c>
      <c r="L12">
        <v>1403.721</v>
      </c>
      <c r="M12">
        <v>0</v>
      </c>
      <c r="N12">
        <v>14.179000000000002</v>
      </c>
      <c r="O12" t="s">
        <v>293</v>
      </c>
      <c r="P12">
        <v>105.6</v>
      </c>
      <c r="Q12">
        <v>52.8</v>
      </c>
      <c r="R12">
        <v>12</v>
      </c>
      <c r="S12">
        <v>0</v>
      </c>
      <c r="T12" t="s">
        <v>141</v>
      </c>
      <c r="U12" t="s">
        <v>293</v>
      </c>
      <c r="V12" t="s">
        <v>75</v>
      </c>
      <c r="W12" t="s">
        <v>75</v>
      </c>
      <c r="X12" t="s">
        <v>206</v>
      </c>
      <c r="AL12" t="s">
        <v>292</v>
      </c>
      <c r="AQ12" t="s">
        <v>147</v>
      </c>
      <c r="AT12" t="s">
        <v>147</v>
      </c>
      <c r="AV12" t="s">
        <v>151</v>
      </c>
      <c r="AX12" t="s">
        <v>147</v>
      </c>
      <c r="BA12" t="s">
        <v>141</v>
      </c>
      <c r="BM12" t="s">
        <v>292</v>
      </c>
      <c r="BP12">
        <v>0</v>
      </c>
      <c r="BX12" t="s">
        <v>207</v>
      </c>
      <c r="BZ12" t="s">
        <v>293</v>
      </c>
      <c r="CB12" t="s">
        <v>304</v>
      </c>
      <c r="CC12" t="s">
        <v>208</v>
      </c>
      <c r="CD12" t="s">
        <v>75</v>
      </c>
      <c r="CE12">
        <v>-0.1</v>
      </c>
      <c r="CL12" t="s">
        <v>209</v>
      </c>
      <c r="CN12" t="s">
        <v>210</v>
      </c>
    </row>
    <row r="13" spans="1:92" x14ac:dyDescent="0.2">
      <c r="A13">
        <v>755</v>
      </c>
      <c r="B13" t="s">
        <v>141</v>
      </c>
      <c r="C13" t="s">
        <v>76</v>
      </c>
      <c r="D13" t="s">
        <v>341</v>
      </c>
      <c r="E13">
        <v>964</v>
      </c>
      <c r="G13">
        <v>0</v>
      </c>
      <c r="H13">
        <v>100</v>
      </c>
      <c r="I13">
        <v>0</v>
      </c>
      <c r="J13">
        <v>0</v>
      </c>
      <c r="K13">
        <v>0</v>
      </c>
      <c r="L13">
        <v>964</v>
      </c>
      <c r="M13">
        <v>0</v>
      </c>
      <c r="N13">
        <v>0</v>
      </c>
      <c r="O13" t="s">
        <v>293</v>
      </c>
      <c r="P13">
        <v>118.08</v>
      </c>
      <c r="U13" t="s">
        <v>293</v>
      </c>
      <c r="V13" t="s">
        <v>141</v>
      </c>
      <c r="W13" t="s">
        <v>141</v>
      </c>
      <c r="AL13" t="s">
        <v>292</v>
      </c>
      <c r="AR13" t="s">
        <v>147</v>
      </c>
      <c r="AT13" t="s">
        <v>147</v>
      </c>
      <c r="BA13" t="s">
        <v>146</v>
      </c>
      <c r="BM13" t="s">
        <v>292</v>
      </c>
      <c r="BY13" t="s">
        <v>141</v>
      </c>
      <c r="BZ13" t="s">
        <v>293</v>
      </c>
      <c r="CL13" t="s">
        <v>211</v>
      </c>
    </row>
    <row r="14" spans="1:92" x14ac:dyDescent="0.2">
      <c r="A14">
        <v>760</v>
      </c>
      <c r="B14" t="s">
        <v>75</v>
      </c>
      <c r="C14" t="s">
        <v>76</v>
      </c>
      <c r="D14" t="s">
        <v>341</v>
      </c>
      <c r="E14">
        <v>1601</v>
      </c>
      <c r="G14">
        <v>0</v>
      </c>
      <c r="H14">
        <v>99</v>
      </c>
      <c r="I14">
        <v>0</v>
      </c>
      <c r="J14">
        <v>1</v>
      </c>
      <c r="K14">
        <v>0</v>
      </c>
      <c r="L14">
        <v>1584.99</v>
      </c>
      <c r="M14">
        <v>0</v>
      </c>
      <c r="N14">
        <v>16.010000000000002</v>
      </c>
      <c r="O14" t="s">
        <v>293</v>
      </c>
      <c r="P14">
        <v>5</v>
      </c>
      <c r="Q14">
        <v>5</v>
      </c>
      <c r="R14">
        <v>5</v>
      </c>
      <c r="S14">
        <v>5</v>
      </c>
      <c r="U14" t="s">
        <v>293</v>
      </c>
      <c r="V14" t="s">
        <v>75</v>
      </c>
      <c r="W14" t="s">
        <v>75</v>
      </c>
      <c r="AL14" t="s">
        <v>292</v>
      </c>
      <c r="AT14" t="s">
        <v>147</v>
      </c>
      <c r="BA14" t="s">
        <v>152</v>
      </c>
      <c r="BM14" t="s">
        <v>292</v>
      </c>
      <c r="BZ14" t="s">
        <v>292</v>
      </c>
      <c r="CL14" t="s">
        <v>78</v>
      </c>
    </row>
    <row r="15" spans="1:92" x14ac:dyDescent="0.2">
      <c r="A15">
        <v>766</v>
      </c>
      <c r="B15" t="s">
        <v>75</v>
      </c>
      <c r="C15" t="s">
        <v>76</v>
      </c>
      <c r="D15" t="s">
        <v>341</v>
      </c>
      <c r="E15">
        <v>953</v>
      </c>
      <c r="O15" t="s">
        <v>292</v>
      </c>
      <c r="U15" t="s">
        <v>292</v>
      </c>
      <c r="V15" t="s">
        <v>74</v>
      </c>
      <c r="AL15" t="s">
        <v>292</v>
      </c>
      <c r="AP15" t="s">
        <v>147</v>
      </c>
      <c r="AR15" t="s">
        <v>147</v>
      </c>
      <c r="AT15" t="s">
        <v>147</v>
      </c>
      <c r="BA15" t="s">
        <v>152</v>
      </c>
      <c r="BM15" t="s">
        <v>292</v>
      </c>
      <c r="BZ15" t="s">
        <v>292</v>
      </c>
    </row>
    <row r="16" spans="1:92" x14ac:dyDescent="0.2">
      <c r="A16">
        <v>2184</v>
      </c>
      <c r="B16" t="s">
        <v>141</v>
      </c>
      <c r="C16" t="s">
        <v>218</v>
      </c>
      <c r="D16" t="s">
        <v>341</v>
      </c>
      <c r="E16">
        <v>5500</v>
      </c>
      <c r="G16">
        <v>10</v>
      </c>
      <c r="H16">
        <v>90</v>
      </c>
      <c r="I16">
        <v>0</v>
      </c>
      <c r="J16">
        <v>0</v>
      </c>
      <c r="K16">
        <v>550</v>
      </c>
      <c r="L16">
        <v>4950</v>
      </c>
      <c r="M16">
        <v>0</v>
      </c>
      <c r="N16">
        <v>0</v>
      </c>
      <c r="O16" t="s">
        <v>293</v>
      </c>
      <c r="P16">
        <v>15</v>
      </c>
      <c r="R16">
        <v>5</v>
      </c>
      <c r="S16">
        <v>5</v>
      </c>
      <c r="U16" t="s">
        <v>293</v>
      </c>
      <c r="V16" t="s">
        <v>75</v>
      </c>
      <c r="W16" t="s">
        <v>75</v>
      </c>
      <c r="Z16">
        <v>0</v>
      </c>
      <c r="AA16">
        <v>90</v>
      </c>
      <c r="AB16">
        <v>0</v>
      </c>
      <c r="AC16">
        <v>0</v>
      </c>
      <c r="AD16">
        <v>10</v>
      </c>
      <c r="AE16">
        <v>0</v>
      </c>
      <c r="AF16">
        <v>0</v>
      </c>
      <c r="AG16">
        <v>495</v>
      </c>
      <c r="AH16">
        <v>0</v>
      </c>
      <c r="AI16">
        <v>0</v>
      </c>
      <c r="AJ16">
        <v>55</v>
      </c>
      <c r="AK16">
        <v>0</v>
      </c>
      <c r="AL16" t="s">
        <v>293</v>
      </c>
      <c r="AS16" t="s">
        <v>147</v>
      </c>
      <c r="AT16" t="s">
        <v>147</v>
      </c>
      <c r="AU16" t="s">
        <v>147</v>
      </c>
      <c r="AV16" t="s">
        <v>147</v>
      </c>
      <c r="AW16" t="s">
        <v>147</v>
      </c>
      <c r="AX16" t="s">
        <v>147</v>
      </c>
      <c r="AY16" t="s">
        <v>147</v>
      </c>
      <c r="BA16" t="s">
        <v>152</v>
      </c>
      <c r="BM16" t="s">
        <v>292</v>
      </c>
      <c r="BZ16" t="s">
        <v>292</v>
      </c>
      <c r="CL16" t="s">
        <v>219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N72"/>
  <sheetViews>
    <sheetView workbookViewId="0">
      <selection activeCell="CQ16" sqref="CQ16"/>
    </sheetView>
  </sheetViews>
  <sheetFormatPr baseColWidth="10" defaultColWidth="8.83203125" defaultRowHeight="15" x14ac:dyDescent="0.2"/>
  <cols>
    <col min="3" max="3" width="12.6640625" customWidth="1"/>
  </cols>
  <sheetData>
    <row r="1" spans="1:92" ht="38.5" customHeight="1" thickBot="1" x14ac:dyDescent="0.25">
      <c r="A1" s="70" t="s">
        <v>150</v>
      </c>
      <c r="B1" s="71" t="s">
        <v>1</v>
      </c>
      <c r="C1" s="71" t="s">
        <v>2</v>
      </c>
      <c r="D1" s="71" t="s">
        <v>230</v>
      </c>
      <c r="E1" s="72" t="s">
        <v>232</v>
      </c>
      <c r="F1" s="73" t="s">
        <v>294</v>
      </c>
      <c r="G1" s="71" t="s">
        <v>234</v>
      </c>
      <c r="H1" s="74" t="s">
        <v>235</v>
      </c>
      <c r="I1" s="74" t="s">
        <v>236</v>
      </c>
      <c r="J1" s="74" t="s">
        <v>237</v>
      </c>
      <c r="K1" s="74" t="s">
        <v>238</v>
      </c>
      <c r="L1" s="74" t="s">
        <v>239</v>
      </c>
      <c r="M1" s="74" t="s">
        <v>240</v>
      </c>
      <c r="N1" s="74" t="s">
        <v>241</v>
      </c>
      <c r="O1" s="75" t="s">
        <v>291</v>
      </c>
      <c r="P1" s="76" t="s">
        <v>243</v>
      </c>
      <c r="Q1" s="74" t="s">
        <v>244</v>
      </c>
      <c r="R1" s="74" t="s">
        <v>245</v>
      </c>
      <c r="S1" s="74" t="s">
        <v>246</v>
      </c>
      <c r="T1" s="74" t="s">
        <v>296</v>
      </c>
      <c r="U1" s="75" t="s">
        <v>295</v>
      </c>
      <c r="V1" s="77" t="s">
        <v>247</v>
      </c>
      <c r="W1" s="72" t="s">
        <v>250</v>
      </c>
      <c r="X1" s="71" t="s">
        <v>18</v>
      </c>
      <c r="Y1" s="113"/>
      <c r="Z1" s="72" t="s">
        <v>251</v>
      </c>
      <c r="AA1" s="71" t="s">
        <v>252</v>
      </c>
      <c r="AB1" s="71" t="s">
        <v>253</v>
      </c>
      <c r="AC1" s="71" t="s">
        <v>254</v>
      </c>
      <c r="AD1" s="71" t="s">
        <v>255</v>
      </c>
      <c r="AE1" s="71" t="s">
        <v>256</v>
      </c>
      <c r="AF1" s="71" t="s">
        <v>257</v>
      </c>
      <c r="AG1" s="71" t="s">
        <v>258</v>
      </c>
      <c r="AH1" s="71" t="s">
        <v>259</v>
      </c>
      <c r="AI1" s="71" t="s">
        <v>260</v>
      </c>
      <c r="AJ1" s="71" t="s">
        <v>261</v>
      </c>
      <c r="AK1" s="71" t="s">
        <v>262</v>
      </c>
      <c r="AL1" s="74" t="s">
        <v>298</v>
      </c>
      <c r="AM1" s="75" t="s">
        <v>299</v>
      </c>
      <c r="AN1" s="74"/>
      <c r="AO1" s="127"/>
      <c r="AP1" s="72" t="s">
        <v>263</v>
      </c>
      <c r="AQ1" s="71" t="s">
        <v>264</v>
      </c>
      <c r="AR1" s="71" t="s">
        <v>265</v>
      </c>
      <c r="AS1" s="71" t="s">
        <v>266</v>
      </c>
      <c r="AT1" s="71" t="s">
        <v>267</v>
      </c>
      <c r="AU1" s="71" t="s">
        <v>268</v>
      </c>
      <c r="AV1" s="71" t="s">
        <v>269</v>
      </c>
      <c r="AW1" s="71" t="s">
        <v>270</v>
      </c>
      <c r="AX1" s="71" t="s">
        <v>271</v>
      </c>
      <c r="AY1" s="71" t="s">
        <v>272</v>
      </c>
      <c r="AZ1" s="113"/>
      <c r="BA1" s="78" t="s">
        <v>273</v>
      </c>
      <c r="BB1" s="133"/>
      <c r="BC1" s="72" t="s">
        <v>274</v>
      </c>
      <c r="BD1" s="71" t="s">
        <v>252</v>
      </c>
      <c r="BE1" s="71" t="s">
        <v>253</v>
      </c>
      <c r="BF1" s="71" t="s">
        <v>279</v>
      </c>
      <c r="BG1" s="71" t="s">
        <v>256</v>
      </c>
      <c r="BH1" s="71" t="s">
        <v>257</v>
      </c>
      <c r="BI1" s="71" t="s">
        <v>258</v>
      </c>
      <c r="BJ1" s="71" t="s">
        <v>259</v>
      </c>
      <c r="BK1" s="71" t="s">
        <v>261</v>
      </c>
      <c r="BL1" s="71" t="s">
        <v>262</v>
      </c>
      <c r="BM1" s="74" t="s">
        <v>300</v>
      </c>
      <c r="BN1" s="75" t="s">
        <v>301</v>
      </c>
      <c r="BO1" s="136"/>
      <c r="BP1" s="78" t="s">
        <v>280</v>
      </c>
      <c r="BQ1" s="72" t="s">
        <v>282</v>
      </c>
      <c r="BR1" s="71" t="s">
        <v>283</v>
      </c>
      <c r="BS1" s="71" t="s">
        <v>284</v>
      </c>
      <c r="BT1" s="71" t="s">
        <v>285</v>
      </c>
      <c r="BU1" s="71" t="s">
        <v>286</v>
      </c>
      <c r="BV1" s="71" t="s">
        <v>287</v>
      </c>
      <c r="BW1" s="71" t="s">
        <v>59</v>
      </c>
      <c r="BX1" s="71" t="s">
        <v>60</v>
      </c>
      <c r="BY1" s="71" t="s">
        <v>303</v>
      </c>
      <c r="BZ1" s="74" t="s">
        <v>302</v>
      </c>
      <c r="CA1" s="128"/>
      <c r="CB1" s="63" t="s">
        <v>61</v>
      </c>
      <c r="CC1" s="73" t="s">
        <v>62</v>
      </c>
      <c r="CD1" s="72" t="s">
        <v>63</v>
      </c>
      <c r="CE1" s="71" t="s">
        <v>64</v>
      </c>
      <c r="CF1" s="72" t="s">
        <v>65</v>
      </c>
      <c r="CG1" s="71" t="s">
        <v>66</v>
      </c>
      <c r="CH1" s="71" t="s">
        <v>67</v>
      </c>
      <c r="CI1" s="71" t="s">
        <v>68</v>
      </c>
      <c r="CJ1" s="71" t="s">
        <v>69</v>
      </c>
      <c r="CK1" s="73" t="s">
        <v>70</v>
      </c>
      <c r="CL1" s="71" t="s">
        <v>71</v>
      </c>
      <c r="CM1" s="71" t="s">
        <v>72</v>
      </c>
      <c r="CN1" s="71" t="s">
        <v>73</v>
      </c>
    </row>
    <row r="2" spans="1:92" x14ac:dyDescent="0.2">
      <c r="A2" s="69">
        <v>9</v>
      </c>
      <c r="B2" t="s">
        <v>141</v>
      </c>
      <c r="C2" t="s">
        <v>102</v>
      </c>
      <c r="D2" t="s">
        <v>338</v>
      </c>
      <c r="E2" s="8">
        <v>35000</v>
      </c>
      <c r="F2" s="10"/>
      <c r="G2" s="9"/>
      <c r="H2" s="9"/>
      <c r="I2" s="9"/>
      <c r="J2" s="9"/>
      <c r="K2" s="9"/>
      <c r="L2" s="9"/>
      <c r="M2" s="9"/>
      <c r="N2" s="9"/>
      <c r="O2" s="10" t="s">
        <v>292</v>
      </c>
      <c r="P2" s="8">
        <v>48</v>
      </c>
      <c r="Q2" s="9">
        <v>48</v>
      </c>
      <c r="R2" s="9">
        <v>48</v>
      </c>
      <c r="S2" s="9">
        <v>48</v>
      </c>
      <c r="T2" s="9" t="s">
        <v>141</v>
      </c>
      <c r="U2" s="10" t="s">
        <v>293</v>
      </c>
      <c r="V2" s="35" t="s">
        <v>75</v>
      </c>
      <c r="W2" s="8"/>
      <c r="X2" s="9"/>
      <c r="Y2" s="114"/>
      <c r="Z2" s="8"/>
      <c r="AA2" s="9"/>
      <c r="AB2" s="9"/>
      <c r="AC2" s="9"/>
      <c r="AD2" s="9"/>
      <c r="AE2" s="9"/>
      <c r="AF2" s="9"/>
      <c r="AG2" s="9"/>
      <c r="AH2" s="9"/>
      <c r="AI2" s="9"/>
      <c r="AJ2" s="9"/>
      <c r="AK2" s="9"/>
      <c r="AL2" s="9" t="s">
        <v>292</v>
      </c>
      <c r="AM2" s="10"/>
      <c r="AN2" s="9"/>
      <c r="AO2" s="114"/>
      <c r="AP2" s="8" t="s">
        <v>151</v>
      </c>
      <c r="AQ2" s="9"/>
      <c r="AR2" s="9" t="s">
        <v>151</v>
      </c>
      <c r="AS2" s="9"/>
      <c r="AT2" s="9" t="s">
        <v>151</v>
      </c>
      <c r="AU2" s="9"/>
      <c r="AV2" s="9"/>
      <c r="AW2" s="9"/>
      <c r="AX2" s="9"/>
      <c r="AY2" s="9" t="s">
        <v>151</v>
      </c>
      <c r="AZ2" s="114"/>
      <c r="BA2" s="35"/>
      <c r="BB2" s="115"/>
      <c r="BC2" s="8"/>
      <c r="BD2" s="9"/>
      <c r="BE2" s="9"/>
      <c r="BF2" s="9"/>
      <c r="BG2" s="9"/>
      <c r="BH2" s="9"/>
      <c r="BI2" s="9"/>
      <c r="BJ2" s="9"/>
      <c r="BK2" s="9"/>
      <c r="BL2" s="9"/>
      <c r="BM2" s="9" t="s">
        <v>292</v>
      </c>
      <c r="BN2" s="10"/>
      <c r="BO2" s="137"/>
      <c r="BP2" s="35"/>
      <c r="BQ2" s="8"/>
      <c r="BR2" s="9"/>
      <c r="BS2" s="9"/>
      <c r="BT2" s="9"/>
      <c r="BU2" s="9"/>
      <c r="BV2" s="9"/>
      <c r="BW2" s="9"/>
      <c r="BX2" s="9"/>
      <c r="BY2" s="9"/>
      <c r="BZ2" s="9" t="s">
        <v>292</v>
      </c>
      <c r="CA2" s="114"/>
      <c r="CB2" s="8"/>
      <c r="CC2" s="10"/>
      <c r="CD2" s="8"/>
      <c r="CE2" s="9"/>
      <c r="CF2" s="8"/>
      <c r="CG2" s="9"/>
      <c r="CH2" s="9"/>
      <c r="CI2" s="9"/>
      <c r="CJ2" s="9"/>
      <c r="CK2" s="10"/>
      <c r="CL2" t="s">
        <v>143</v>
      </c>
    </row>
    <row r="3" spans="1:92" x14ac:dyDescent="0.2">
      <c r="A3" s="68">
        <v>18</v>
      </c>
      <c r="B3" t="s">
        <v>141</v>
      </c>
      <c r="C3" t="s">
        <v>86</v>
      </c>
      <c r="D3" t="s">
        <v>338</v>
      </c>
      <c r="E3" s="8">
        <v>1000</v>
      </c>
      <c r="F3" s="10"/>
      <c r="G3" s="9">
        <v>25</v>
      </c>
      <c r="H3" s="9">
        <v>75</v>
      </c>
      <c r="I3" s="9">
        <v>0</v>
      </c>
      <c r="J3" s="9">
        <v>0</v>
      </c>
      <c r="K3" s="9">
        <v>250</v>
      </c>
      <c r="L3" s="9">
        <v>750</v>
      </c>
      <c r="M3" s="9">
        <v>0</v>
      </c>
      <c r="N3" s="9">
        <v>0</v>
      </c>
      <c r="O3" s="10" t="s">
        <v>293</v>
      </c>
      <c r="P3" s="8">
        <v>40</v>
      </c>
      <c r="Q3" s="9">
        <v>40</v>
      </c>
      <c r="R3" s="9">
        <v>40</v>
      </c>
      <c r="S3" s="9">
        <v>40</v>
      </c>
      <c r="T3" s="9"/>
      <c r="U3" s="10" t="s">
        <v>293</v>
      </c>
      <c r="V3" s="35" t="s">
        <v>141</v>
      </c>
      <c r="W3" s="8" t="s">
        <v>141</v>
      </c>
      <c r="X3" s="9"/>
      <c r="Y3" s="114"/>
      <c r="Z3" s="8">
        <v>60</v>
      </c>
      <c r="AA3" s="9">
        <v>35</v>
      </c>
      <c r="AB3" s="9">
        <v>0</v>
      </c>
      <c r="AC3" s="9">
        <v>0</v>
      </c>
      <c r="AD3" s="9">
        <v>5</v>
      </c>
      <c r="AE3" s="9">
        <v>0</v>
      </c>
      <c r="AF3" s="9">
        <v>150</v>
      </c>
      <c r="AG3" s="9">
        <v>87.5</v>
      </c>
      <c r="AH3" s="9">
        <v>0</v>
      </c>
      <c r="AI3" s="9">
        <v>0</v>
      </c>
      <c r="AJ3" s="9">
        <v>12.5</v>
      </c>
      <c r="AK3" s="9">
        <v>0</v>
      </c>
      <c r="AL3" s="9" t="s">
        <v>293</v>
      </c>
      <c r="AM3" s="10"/>
      <c r="AN3" s="9"/>
      <c r="AO3" s="114"/>
      <c r="AP3" s="8"/>
      <c r="AQ3" s="9"/>
      <c r="AR3" s="9"/>
      <c r="AS3" s="9"/>
      <c r="AT3" s="9" t="s">
        <v>147</v>
      </c>
      <c r="AU3" s="9"/>
      <c r="AV3" s="9"/>
      <c r="AW3" s="9"/>
      <c r="AX3" s="9"/>
      <c r="AY3" s="9"/>
      <c r="AZ3" s="114"/>
      <c r="BA3" s="35" t="s">
        <v>152</v>
      </c>
      <c r="BB3" s="115"/>
      <c r="BC3" s="8"/>
      <c r="BD3" s="9"/>
      <c r="BE3" s="9"/>
      <c r="BF3" s="9"/>
      <c r="BG3" s="9"/>
      <c r="BH3" s="9"/>
      <c r="BI3" s="9"/>
      <c r="BJ3" s="9"/>
      <c r="BK3" s="9"/>
      <c r="BL3" s="9"/>
      <c r="BM3" s="9" t="s">
        <v>292</v>
      </c>
      <c r="BN3" s="10"/>
      <c r="BO3" s="137"/>
      <c r="BP3" s="35">
        <v>0</v>
      </c>
      <c r="BQ3" s="8"/>
      <c r="BR3" s="9"/>
      <c r="BS3" s="9"/>
      <c r="BT3" s="9"/>
      <c r="BU3" s="9"/>
      <c r="BV3" s="9"/>
      <c r="BW3" s="9"/>
      <c r="BX3" s="9"/>
      <c r="BY3" s="9" t="s">
        <v>141</v>
      </c>
      <c r="BZ3" s="9" t="s">
        <v>293</v>
      </c>
      <c r="CA3" s="114"/>
      <c r="CB3" s="8" t="s">
        <v>152</v>
      </c>
      <c r="CC3" s="10"/>
      <c r="CD3" s="8" t="s">
        <v>141</v>
      </c>
      <c r="CE3" s="9">
        <v>0</v>
      </c>
      <c r="CF3" s="8"/>
      <c r="CG3" s="9"/>
      <c r="CH3" s="9"/>
      <c r="CI3" s="9"/>
      <c r="CJ3" s="9"/>
      <c r="CK3" s="10"/>
    </row>
    <row r="4" spans="1:92" x14ac:dyDescent="0.2">
      <c r="A4" s="68">
        <v>23</v>
      </c>
      <c r="B4" t="s">
        <v>141</v>
      </c>
      <c r="C4" t="s">
        <v>86</v>
      </c>
      <c r="D4" t="s">
        <v>338</v>
      </c>
      <c r="E4" s="8">
        <v>192000</v>
      </c>
      <c r="F4" s="10" t="s">
        <v>141</v>
      </c>
      <c r="G4" s="9"/>
      <c r="H4" s="9"/>
      <c r="I4" s="9"/>
      <c r="J4" s="9"/>
      <c r="K4" s="9"/>
      <c r="L4" s="9"/>
      <c r="M4" s="9"/>
      <c r="N4" s="9"/>
      <c r="O4" s="10" t="s">
        <v>292</v>
      </c>
      <c r="P4" s="8"/>
      <c r="Q4" s="9"/>
      <c r="R4" s="9"/>
      <c r="S4" s="9"/>
      <c r="T4" s="9"/>
      <c r="U4" s="10" t="s">
        <v>292</v>
      </c>
      <c r="V4" s="35" t="s">
        <v>75</v>
      </c>
      <c r="W4" s="8" t="s">
        <v>75</v>
      </c>
      <c r="X4" s="9"/>
      <c r="Y4" s="114"/>
      <c r="Z4" s="8"/>
      <c r="AA4" s="9"/>
      <c r="AB4" s="9"/>
      <c r="AC4" s="9"/>
      <c r="AD4" s="9"/>
      <c r="AE4" s="9"/>
      <c r="AF4" s="9"/>
      <c r="AG4" s="9"/>
      <c r="AH4" s="9"/>
      <c r="AI4" s="9"/>
      <c r="AJ4" s="9"/>
      <c r="AK4" s="9"/>
      <c r="AL4" s="9" t="s">
        <v>292</v>
      </c>
      <c r="AM4" s="10"/>
      <c r="AN4" s="9"/>
      <c r="AO4" s="114"/>
      <c r="AP4" s="8"/>
      <c r="AQ4" s="9"/>
      <c r="AR4" s="9"/>
      <c r="AS4" s="9"/>
      <c r="AT4" s="9"/>
      <c r="AU4" s="9"/>
      <c r="AV4" s="9"/>
      <c r="AW4" s="9"/>
      <c r="AX4" s="9"/>
      <c r="AY4" s="9"/>
      <c r="AZ4" s="114"/>
      <c r="BA4" s="35" t="s">
        <v>152</v>
      </c>
      <c r="BB4" s="115"/>
      <c r="BC4" s="8"/>
      <c r="BD4" s="9"/>
      <c r="BE4" s="9"/>
      <c r="BF4" s="9"/>
      <c r="BG4" s="9"/>
      <c r="BH4" s="9"/>
      <c r="BI4" s="9"/>
      <c r="BJ4" s="9"/>
      <c r="BK4" s="9"/>
      <c r="BL4" s="9"/>
      <c r="BM4" s="9" t="s">
        <v>292</v>
      </c>
      <c r="BN4" s="10"/>
      <c r="BO4" s="137"/>
      <c r="BP4" s="35"/>
      <c r="BQ4" s="8"/>
      <c r="BR4" s="9"/>
      <c r="BS4" s="9"/>
      <c r="BT4" s="9"/>
      <c r="BU4" s="9"/>
      <c r="BV4" s="9"/>
      <c r="BW4" s="9"/>
      <c r="BX4" s="9"/>
      <c r="BY4" s="9"/>
      <c r="BZ4" s="9" t="s">
        <v>292</v>
      </c>
      <c r="CA4" s="114"/>
      <c r="CB4" s="8"/>
      <c r="CC4" s="10"/>
      <c r="CD4" s="8"/>
      <c r="CE4" s="9"/>
      <c r="CF4" s="8"/>
      <c r="CG4" s="9"/>
      <c r="CH4" s="9"/>
      <c r="CI4" s="9"/>
      <c r="CJ4" s="9"/>
      <c r="CK4" s="10"/>
      <c r="CL4" t="s">
        <v>153</v>
      </c>
    </row>
    <row r="5" spans="1:92" x14ac:dyDescent="0.2">
      <c r="A5" s="68">
        <v>53</v>
      </c>
      <c r="B5" t="s">
        <v>75</v>
      </c>
      <c r="C5" t="s">
        <v>86</v>
      </c>
      <c r="D5" t="s">
        <v>338</v>
      </c>
      <c r="E5" s="8">
        <v>4314</v>
      </c>
      <c r="F5" s="10"/>
      <c r="G5" s="9">
        <v>20</v>
      </c>
      <c r="H5" s="9">
        <v>70</v>
      </c>
      <c r="I5" s="9">
        <v>5</v>
      </c>
      <c r="J5" s="9">
        <v>5</v>
      </c>
      <c r="K5" s="9">
        <v>862.80000000000007</v>
      </c>
      <c r="L5" s="9">
        <v>3019.8</v>
      </c>
      <c r="M5" s="9">
        <v>215.70000000000002</v>
      </c>
      <c r="N5" s="9">
        <v>215.70000000000002</v>
      </c>
      <c r="O5" s="10" t="s">
        <v>293</v>
      </c>
      <c r="P5" s="8">
        <v>36</v>
      </c>
      <c r="Q5" s="9">
        <v>36</v>
      </c>
      <c r="R5" s="9">
        <v>36</v>
      </c>
      <c r="S5" s="9"/>
      <c r="T5" s="9"/>
      <c r="U5" s="10" t="s">
        <v>293</v>
      </c>
      <c r="V5" s="35" t="s">
        <v>74</v>
      </c>
      <c r="W5" s="8"/>
      <c r="X5" s="9"/>
      <c r="Y5" s="114"/>
      <c r="Z5" s="8"/>
      <c r="AA5" s="9"/>
      <c r="AB5" s="9"/>
      <c r="AC5" s="9"/>
      <c r="AD5" s="9"/>
      <c r="AE5" s="9"/>
      <c r="AF5" s="9"/>
      <c r="AG5" s="9"/>
      <c r="AH5" s="9"/>
      <c r="AI5" s="9"/>
      <c r="AJ5" s="9"/>
      <c r="AK5" s="9"/>
      <c r="AL5" s="9" t="s">
        <v>292</v>
      </c>
      <c r="AM5" s="10"/>
      <c r="AN5" s="9"/>
      <c r="AO5" s="114"/>
      <c r="AP5" s="8"/>
      <c r="AQ5" s="9"/>
      <c r="AR5" s="9"/>
      <c r="AS5" s="9"/>
      <c r="AT5" s="9" t="s">
        <v>147</v>
      </c>
      <c r="AU5" s="9"/>
      <c r="AV5" s="9"/>
      <c r="AW5" s="9"/>
      <c r="AX5" s="9"/>
      <c r="AY5" s="9" t="s">
        <v>151</v>
      </c>
      <c r="AZ5" s="114"/>
      <c r="BA5" s="35" t="s">
        <v>75</v>
      </c>
      <c r="BB5" s="115"/>
      <c r="BC5" s="8">
        <v>15</v>
      </c>
      <c r="BD5" s="9">
        <v>60</v>
      </c>
      <c r="BE5" s="9">
        <v>15</v>
      </c>
      <c r="BF5" s="9">
        <v>5</v>
      </c>
      <c r="BG5" s="9">
        <v>5</v>
      </c>
      <c r="BH5" s="9">
        <v>32.355000000000004</v>
      </c>
      <c r="BI5" s="9">
        <v>129.42000000000002</v>
      </c>
      <c r="BJ5" s="9">
        <v>32.355000000000004</v>
      </c>
      <c r="BK5" s="9">
        <v>10.785</v>
      </c>
      <c r="BL5" s="9">
        <v>10.785</v>
      </c>
      <c r="BM5" s="9" t="s">
        <v>293</v>
      </c>
      <c r="BN5" s="10"/>
      <c r="BO5" s="137"/>
      <c r="BP5" s="35"/>
      <c r="BQ5" s="8"/>
      <c r="BR5" s="9"/>
      <c r="BS5" s="9"/>
      <c r="BT5" s="9"/>
      <c r="BU5" s="9"/>
      <c r="BV5" s="9"/>
      <c r="BW5" s="9"/>
      <c r="BX5" s="9"/>
      <c r="BY5" s="9" t="s">
        <v>141</v>
      </c>
      <c r="BZ5" s="9" t="s">
        <v>293</v>
      </c>
      <c r="CA5" s="114"/>
      <c r="CB5" s="8" t="s">
        <v>74</v>
      </c>
      <c r="CC5" s="10"/>
      <c r="CD5" s="8"/>
      <c r="CE5" s="9"/>
      <c r="CF5" s="8"/>
      <c r="CG5" s="9"/>
      <c r="CH5" s="9"/>
      <c r="CI5" s="9"/>
      <c r="CJ5" s="9"/>
      <c r="CK5" s="10"/>
      <c r="CL5" t="s">
        <v>89</v>
      </c>
    </row>
    <row r="6" spans="1:92" x14ac:dyDescent="0.2">
      <c r="A6" s="68">
        <v>70</v>
      </c>
      <c r="B6" t="s">
        <v>75</v>
      </c>
      <c r="C6" t="s">
        <v>86</v>
      </c>
      <c r="D6" t="s">
        <v>338</v>
      </c>
      <c r="E6" s="8">
        <v>115000</v>
      </c>
      <c r="F6" s="10"/>
      <c r="G6" s="9">
        <v>80</v>
      </c>
      <c r="H6" s="9">
        <v>10</v>
      </c>
      <c r="I6" s="9">
        <v>7</v>
      </c>
      <c r="J6" s="9">
        <v>3</v>
      </c>
      <c r="K6" s="9">
        <v>92000</v>
      </c>
      <c r="L6" s="9">
        <v>11500</v>
      </c>
      <c r="M6" s="9">
        <v>8050</v>
      </c>
      <c r="N6" s="9">
        <v>3450</v>
      </c>
      <c r="O6" s="10" t="s">
        <v>293</v>
      </c>
      <c r="P6" s="8">
        <v>28</v>
      </c>
      <c r="Q6" s="9">
        <v>28</v>
      </c>
      <c r="R6" s="9">
        <v>28</v>
      </c>
      <c r="S6" s="9">
        <v>28</v>
      </c>
      <c r="T6" s="9"/>
      <c r="U6" s="10" t="s">
        <v>293</v>
      </c>
      <c r="V6" s="35" t="s">
        <v>75</v>
      </c>
      <c r="W6" s="8" t="s">
        <v>75</v>
      </c>
      <c r="X6" s="9"/>
      <c r="Y6" s="114"/>
      <c r="Z6" s="8">
        <v>20</v>
      </c>
      <c r="AA6" s="9">
        <v>30</v>
      </c>
      <c r="AB6" s="9">
        <v>45</v>
      </c>
      <c r="AC6" s="9">
        <v>0</v>
      </c>
      <c r="AD6" s="9">
        <v>5</v>
      </c>
      <c r="AE6" s="9">
        <v>0</v>
      </c>
      <c r="AF6" s="9">
        <v>18400</v>
      </c>
      <c r="AG6" s="9">
        <v>27600</v>
      </c>
      <c r="AH6" s="9">
        <v>41400</v>
      </c>
      <c r="AI6" s="9">
        <v>0</v>
      </c>
      <c r="AJ6" s="9">
        <v>4600</v>
      </c>
      <c r="AK6" s="9">
        <v>0</v>
      </c>
      <c r="AL6" s="9" t="s">
        <v>293</v>
      </c>
      <c r="AM6" s="10"/>
      <c r="AN6" s="9"/>
      <c r="AO6" s="114"/>
      <c r="AP6" s="8" t="s">
        <v>147</v>
      </c>
      <c r="AQ6" s="9" t="s">
        <v>147</v>
      </c>
      <c r="AR6" s="9" t="s">
        <v>147</v>
      </c>
      <c r="AS6" s="9" t="s">
        <v>147</v>
      </c>
      <c r="AT6" s="9" t="s">
        <v>147</v>
      </c>
      <c r="AU6" s="9" t="s">
        <v>147</v>
      </c>
      <c r="AV6" s="9" t="s">
        <v>147</v>
      </c>
      <c r="AW6" s="9" t="s">
        <v>151</v>
      </c>
      <c r="AX6" s="9" t="s">
        <v>147</v>
      </c>
      <c r="AY6" s="9" t="s">
        <v>147</v>
      </c>
      <c r="AZ6" s="114"/>
      <c r="BA6" s="35" t="s">
        <v>152</v>
      </c>
      <c r="BB6" s="115"/>
      <c r="BC6" s="8"/>
      <c r="BD6" s="9"/>
      <c r="BE6" s="9"/>
      <c r="BF6" s="9"/>
      <c r="BG6" s="9"/>
      <c r="BH6" s="9"/>
      <c r="BI6" s="9"/>
      <c r="BJ6" s="9"/>
      <c r="BK6" s="9"/>
      <c r="BL6" s="9"/>
      <c r="BM6" s="9" t="s">
        <v>292</v>
      </c>
      <c r="BN6" s="10"/>
      <c r="BO6" s="137"/>
      <c r="BP6" s="35"/>
      <c r="BQ6" s="8"/>
      <c r="BR6" s="9"/>
      <c r="BS6" s="9"/>
      <c r="BT6" s="9"/>
      <c r="BU6" s="9"/>
      <c r="BV6" s="9"/>
      <c r="BW6" s="9"/>
      <c r="BX6" s="9"/>
      <c r="BY6" s="9"/>
      <c r="BZ6" s="9" t="s">
        <v>292</v>
      </c>
      <c r="CA6" s="114"/>
      <c r="CB6" s="8"/>
      <c r="CC6" s="10"/>
      <c r="CD6" s="8"/>
      <c r="CE6" s="9"/>
      <c r="CF6" s="8"/>
      <c r="CG6" s="9"/>
      <c r="CH6" s="9"/>
      <c r="CI6" s="9"/>
      <c r="CJ6" s="9"/>
      <c r="CK6" s="10"/>
      <c r="CL6" t="s">
        <v>92</v>
      </c>
      <c r="CM6" t="s">
        <v>93</v>
      </c>
      <c r="CN6" t="s">
        <v>94</v>
      </c>
    </row>
    <row r="7" spans="1:92" x14ac:dyDescent="0.2">
      <c r="A7" s="68">
        <v>97</v>
      </c>
      <c r="B7" t="s">
        <v>141</v>
      </c>
      <c r="C7" t="s">
        <v>102</v>
      </c>
      <c r="D7" t="s">
        <v>338</v>
      </c>
      <c r="E7" s="8">
        <v>450000</v>
      </c>
      <c r="F7" s="10"/>
      <c r="G7" s="9">
        <v>0</v>
      </c>
      <c r="H7" s="9">
        <v>30</v>
      </c>
      <c r="I7" s="9">
        <v>55</v>
      </c>
      <c r="J7" s="9">
        <v>15</v>
      </c>
      <c r="K7" s="9">
        <v>0</v>
      </c>
      <c r="L7" s="9">
        <v>135000</v>
      </c>
      <c r="M7" s="9">
        <v>247500</v>
      </c>
      <c r="N7" s="9">
        <v>67500</v>
      </c>
      <c r="O7" s="10" t="s">
        <v>293</v>
      </c>
      <c r="P7" s="8"/>
      <c r="Q7" s="9"/>
      <c r="R7" s="9"/>
      <c r="S7" s="9"/>
      <c r="T7" s="9"/>
      <c r="U7" s="10" t="s">
        <v>292</v>
      </c>
      <c r="V7" s="35" t="s">
        <v>141</v>
      </c>
      <c r="W7" s="8" t="s">
        <v>141</v>
      </c>
      <c r="X7" s="9"/>
      <c r="Y7" s="114"/>
      <c r="Z7" s="8"/>
      <c r="AA7" s="9"/>
      <c r="AB7" s="9"/>
      <c r="AC7" s="9"/>
      <c r="AD7" s="9"/>
      <c r="AE7" s="9"/>
      <c r="AF7" s="9"/>
      <c r="AG7" s="9"/>
      <c r="AH7" s="9"/>
      <c r="AI7" s="9"/>
      <c r="AJ7" s="9"/>
      <c r="AK7" s="9"/>
      <c r="AL7" s="9" t="s">
        <v>292</v>
      </c>
      <c r="AM7" s="10"/>
      <c r="AN7" s="9"/>
      <c r="AO7" s="114"/>
      <c r="AP7" s="8" t="s">
        <v>147</v>
      </c>
      <c r="AQ7" s="9" t="s">
        <v>147</v>
      </c>
      <c r="AR7" s="9" t="s">
        <v>147</v>
      </c>
      <c r="AS7" s="9"/>
      <c r="AT7" s="9" t="s">
        <v>147</v>
      </c>
      <c r="AU7" s="9"/>
      <c r="AV7" s="9"/>
      <c r="AW7" s="9"/>
      <c r="AX7" s="9"/>
      <c r="AY7" s="9"/>
      <c r="AZ7" s="114"/>
      <c r="BA7" s="35" t="s">
        <v>152</v>
      </c>
      <c r="BB7" s="115"/>
      <c r="BC7" s="8"/>
      <c r="BD7" s="9"/>
      <c r="BE7" s="9"/>
      <c r="BF7" s="9"/>
      <c r="BG7" s="9"/>
      <c r="BH7" s="9"/>
      <c r="BI7" s="9"/>
      <c r="BJ7" s="9"/>
      <c r="BK7" s="9"/>
      <c r="BL7" s="9"/>
      <c r="BM7" s="9" t="s">
        <v>292</v>
      </c>
      <c r="BN7" s="10"/>
      <c r="BO7" s="137"/>
      <c r="BP7" s="35"/>
      <c r="BQ7" s="8"/>
      <c r="BR7" s="9"/>
      <c r="BS7" s="9"/>
      <c r="BT7" s="9"/>
      <c r="BU7" s="9"/>
      <c r="BV7" s="9"/>
      <c r="BW7" s="9"/>
      <c r="BX7" s="9"/>
      <c r="BY7" s="9"/>
      <c r="BZ7" s="9" t="s">
        <v>292</v>
      </c>
      <c r="CA7" s="114"/>
      <c r="CB7" s="8"/>
      <c r="CC7" s="10"/>
      <c r="CD7" s="8"/>
      <c r="CE7" s="9"/>
      <c r="CF7" s="8"/>
      <c r="CG7" s="9"/>
      <c r="CH7" s="9"/>
      <c r="CI7" s="9"/>
      <c r="CJ7" s="9"/>
      <c r="CK7" s="10"/>
      <c r="CL7" t="s">
        <v>154</v>
      </c>
      <c r="CM7" t="s">
        <v>155</v>
      </c>
      <c r="CN7" t="s">
        <v>156</v>
      </c>
    </row>
    <row r="8" spans="1:92" x14ac:dyDescent="0.2">
      <c r="A8" s="68">
        <v>111</v>
      </c>
      <c r="B8" t="s">
        <v>75</v>
      </c>
      <c r="C8" t="s">
        <v>102</v>
      </c>
      <c r="D8" t="s">
        <v>338</v>
      </c>
      <c r="E8" s="8">
        <v>119888.18</v>
      </c>
      <c r="F8" s="10"/>
      <c r="G8" s="9">
        <v>0.13254282582961455</v>
      </c>
      <c r="H8" s="9">
        <v>82.803893776865806</v>
      </c>
      <c r="I8" s="9">
        <v>10.141829107564302</v>
      </c>
      <c r="J8" s="9">
        <v>6.9217342897402752</v>
      </c>
      <c r="K8" s="9">
        <v>158.90318160769476</v>
      </c>
      <c r="L8" s="9">
        <v>99272.081218217674</v>
      </c>
      <c r="M8" s="9">
        <v>12158.854335769085</v>
      </c>
      <c r="N8" s="9">
        <v>8298.3412644055425</v>
      </c>
      <c r="O8" s="10" t="s">
        <v>293</v>
      </c>
      <c r="P8" s="8">
        <v>28</v>
      </c>
      <c r="Q8" s="9">
        <v>22</v>
      </c>
      <c r="R8" s="9">
        <v>22</v>
      </c>
      <c r="S8" s="9">
        <v>22</v>
      </c>
      <c r="T8" s="9"/>
      <c r="U8" s="10" t="s">
        <v>293</v>
      </c>
      <c r="V8" s="35" t="s">
        <v>75</v>
      </c>
      <c r="W8" s="8" t="s">
        <v>74</v>
      </c>
      <c r="X8" s="9" t="s">
        <v>103</v>
      </c>
      <c r="Y8" s="114"/>
      <c r="Z8" s="8">
        <v>0</v>
      </c>
      <c r="AA8" s="9">
        <v>5</v>
      </c>
      <c r="AB8" s="9">
        <v>70</v>
      </c>
      <c r="AC8" s="9">
        <v>10</v>
      </c>
      <c r="AD8" s="9">
        <v>10</v>
      </c>
      <c r="AE8" s="9">
        <v>5</v>
      </c>
      <c r="AF8" s="9">
        <v>0</v>
      </c>
      <c r="AG8" s="9">
        <v>7.9451590803847374</v>
      </c>
      <c r="AH8" s="9">
        <v>111.23222712538633</v>
      </c>
      <c r="AI8" s="9">
        <v>15.890318160769475</v>
      </c>
      <c r="AJ8" s="9">
        <v>15.890318160769475</v>
      </c>
      <c r="AK8" s="9">
        <v>7.9451590803847374</v>
      </c>
      <c r="AL8" s="9" t="s">
        <v>293</v>
      </c>
      <c r="AM8" s="10"/>
      <c r="AN8" s="9"/>
      <c r="AO8" s="114"/>
      <c r="AP8" s="8" t="s">
        <v>147</v>
      </c>
      <c r="AQ8" s="9" t="s">
        <v>147</v>
      </c>
      <c r="AR8" s="9" t="s">
        <v>147</v>
      </c>
      <c r="AS8" s="9"/>
      <c r="AT8" s="9" t="s">
        <v>147</v>
      </c>
      <c r="AU8" s="9" t="s">
        <v>147</v>
      </c>
      <c r="AV8" s="9" t="s">
        <v>147</v>
      </c>
      <c r="AW8" s="9" t="s">
        <v>147</v>
      </c>
      <c r="AX8" s="9" t="s">
        <v>147</v>
      </c>
      <c r="AY8" s="9" t="s">
        <v>147</v>
      </c>
      <c r="AZ8" s="114"/>
      <c r="BA8" s="35" t="s">
        <v>75</v>
      </c>
      <c r="BB8" s="115"/>
      <c r="BC8" s="8">
        <v>0</v>
      </c>
      <c r="BD8" s="9">
        <v>5</v>
      </c>
      <c r="BE8" s="9">
        <v>90</v>
      </c>
      <c r="BF8" s="9">
        <v>5</v>
      </c>
      <c r="BG8" s="9">
        <v>0</v>
      </c>
      <c r="BH8" s="9">
        <v>0</v>
      </c>
      <c r="BI8" s="9">
        <v>607.94271678845428</v>
      </c>
      <c r="BJ8" s="9">
        <v>10942.968902192177</v>
      </c>
      <c r="BK8" s="9">
        <v>607.94271678845428</v>
      </c>
      <c r="BL8" s="9">
        <v>0</v>
      </c>
      <c r="BM8" s="9" t="s">
        <v>293</v>
      </c>
      <c r="BN8" s="10"/>
      <c r="BO8" s="137"/>
      <c r="BP8" s="35">
        <v>0</v>
      </c>
      <c r="BQ8" s="8"/>
      <c r="BR8" s="9"/>
      <c r="BS8" s="9"/>
      <c r="BT8" s="9"/>
      <c r="BU8" s="9">
        <v>14</v>
      </c>
      <c r="BV8" s="9">
        <v>4248.7</v>
      </c>
      <c r="BW8" s="9"/>
      <c r="BX8" s="9" t="s">
        <v>104</v>
      </c>
      <c r="BY8" s="9"/>
      <c r="BZ8" s="9" t="s">
        <v>293</v>
      </c>
      <c r="CA8" s="114"/>
      <c r="CB8" s="8" t="s">
        <v>74</v>
      </c>
      <c r="CC8" s="10"/>
      <c r="CD8" s="8"/>
      <c r="CE8" s="9"/>
      <c r="CF8" s="8"/>
      <c r="CG8" s="9"/>
      <c r="CH8" s="9"/>
      <c r="CI8" s="9"/>
      <c r="CJ8" s="9"/>
      <c r="CK8" s="10"/>
      <c r="CL8" t="s">
        <v>105</v>
      </c>
    </row>
    <row r="9" spans="1:92" x14ac:dyDescent="0.2">
      <c r="A9" s="68">
        <v>197</v>
      </c>
      <c r="B9" t="s">
        <v>141</v>
      </c>
      <c r="C9" t="s">
        <v>162</v>
      </c>
      <c r="D9" t="s">
        <v>338</v>
      </c>
      <c r="E9" s="8">
        <v>235576</v>
      </c>
      <c r="F9" s="10"/>
      <c r="G9" s="9">
        <v>0</v>
      </c>
      <c r="H9" s="9">
        <v>99.179679098378287</v>
      </c>
      <c r="I9" s="9">
        <v>0.46328558523680474</v>
      </c>
      <c r="J9" s="9">
        <v>0.35703531638490987</v>
      </c>
      <c r="K9" s="9">
        <v>0</v>
      </c>
      <c r="L9" s="9">
        <v>233643.52083279565</v>
      </c>
      <c r="M9" s="9">
        <v>1091.3896502774551</v>
      </c>
      <c r="N9" s="9">
        <v>841.08951692691528</v>
      </c>
      <c r="O9" s="10" t="s">
        <v>293</v>
      </c>
      <c r="P9" s="8">
        <v>85</v>
      </c>
      <c r="Q9" s="9">
        <v>85</v>
      </c>
      <c r="R9" s="9">
        <v>85</v>
      </c>
      <c r="S9" s="9">
        <v>85</v>
      </c>
      <c r="T9" s="9"/>
      <c r="U9" s="10" t="s">
        <v>293</v>
      </c>
      <c r="V9" s="35" t="s">
        <v>75</v>
      </c>
      <c r="W9" s="8" t="s">
        <v>75</v>
      </c>
      <c r="X9" s="9"/>
      <c r="Y9" s="114"/>
      <c r="Z9" s="8"/>
      <c r="AA9" s="9"/>
      <c r="AB9" s="9"/>
      <c r="AC9" s="9"/>
      <c r="AD9" s="9"/>
      <c r="AE9" s="9"/>
      <c r="AF9" s="9"/>
      <c r="AG9" s="9"/>
      <c r="AH9" s="9"/>
      <c r="AI9" s="9"/>
      <c r="AJ9" s="9"/>
      <c r="AK9" s="9"/>
      <c r="AL9" s="9" t="s">
        <v>292</v>
      </c>
      <c r="AM9" s="10"/>
      <c r="AN9" s="9"/>
      <c r="AO9" s="114"/>
      <c r="AP9" s="8"/>
      <c r="AQ9" s="9"/>
      <c r="AR9" s="9" t="s">
        <v>147</v>
      </c>
      <c r="AS9" s="9" t="s">
        <v>147</v>
      </c>
      <c r="AT9" s="9" t="s">
        <v>147</v>
      </c>
      <c r="AU9" s="9"/>
      <c r="AV9" s="9"/>
      <c r="AW9" s="9"/>
      <c r="AX9" s="9"/>
      <c r="AY9" s="9"/>
      <c r="AZ9" s="114"/>
      <c r="BA9" s="35" t="s">
        <v>152</v>
      </c>
      <c r="BB9" s="115"/>
      <c r="BC9" s="8"/>
      <c r="BD9" s="9"/>
      <c r="BE9" s="9"/>
      <c r="BF9" s="9"/>
      <c r="BG9" s="9"/>
      <c r="BH9" s="9"/>
      <c r="BI9" s="9"/>
      <c r="BJ9" s="9"/>
      <c r="BK9" s="9"/>
      <c r="BL9" s="9"/>
      <c r="BM9" s="9" t="s">
        <v>292</v>
      </c>
      <c r="BN9" s="10"/>
      <c r="BO9" s="137"/>
      <c r="BP9" s="35"/>
      <c r="BQ9" s="8"/>
      <c r="BR9" s="9"/>
      <c r="BS9" s="9"/>
      <c r="BT9" s="9"/>
      <c r="BU9" s="9"/>
      <c r="BV9" s="9"/>
      <c r="BW9" s="9"/>
      <c r="BX9" s="9"/>
      <c r="BY9" s="9"/>
      <c r="BZ9" s="9" t="s">
        <v>292</v>
      </c>
      <c r="CA9" s="114"/>
      <c r="CB9" s="8"/>
      <c r="CC9" s="10"/>
      <c r="CD9" s="8"/>
      <c r="CE9" s="9"/>
      <c r="CF9" s="8"/>
      <c r="CG9" s="9"/>
      <c r="CH9" s="9"/>
      <c r="CI9" s="9"/>
      <c r="CJ9" s="9"/>
      <c r="CK9" s="10"/>
      <c r="CL9" t="s">
        <v>163</v>
      </c>
      <c r="CM9" t="s">
        <v>164</v>
      </c>
      <c r="CN9" t="s">
        <v>165</v>
      </c>
    </row>
    <row r="10" spans="1:92" x14ac:dyDescent="0.2">
      <c r="A10" s="68">
        <v>207</v>
      </c>
      <c r="B10" t="s">
        <v>75</v>
      </c>
      <c r="C10" t="s">
        <v>106</v>
      </c>
      <c r="D10" t="s">
        <v>338</v>
      </c>
      <c r="E10" s="8">
        <v>22163</v>
      </c>
      <c r="F10" s="10"/>
      <c r="G10" s="9">
        <v>0</v>
      </c>
      <c r="H10" s="9">
        <v>82.29348360839036</v>
      </c>
      <c r="I10" s="9">
        <v>2.4822219240574266</v>
      </c>
      <c r="J10" s="9">
        <v>15.224294467552216</v>
      </c>
      <c r="K10" s="9">
        <v>0</v>
      </c>
      <c r="L10" s="9">
        <v>18400</v>
      </c>
      <c r="M10" s="9">
        <v>555</v>
      </c>
      <c r="N10" s="9">
        <v>3404</v>
      </c>
      <c r="O10" s="10" t="s">
        <v>293</v>
      </c>
      <c r="P10" s="8">
        <v>30</v>
      </c>
      <c r="Q10" s="9"/>
      <c r="R10" s="9"/>
      <c r="S10" s="9"/>
      <c r="T10" s="9" t="s">
        <v>297</v>
      </c>
      <c r="U10" s="10" t="s">
        <v>293</v>
      </c>
      <c r="V10" s="35" t="s">
        <v>75</v>
      </c>
      <c r="W10" s="8" t="s">
        <v>74</v>
      </c>
      <c r="X10" s="9" t="s">
        <v>107</v>
      </c>
      <c r="Y10" s="114"/>
      <c r="Z10" s="8"/>
      <c r="AA10" s="9"/>
      <c r="AB10" s="9"/>
      <c r="AC10" s="9"/>
      <c r="AD10" s="9"/>
      <c r="AE10" s="9"/>
      <c r="AF10" s="9"/>
      <c r="AG10" s="9"/>
      <c r="AH10" s="9"/>
      <c r="AI10" s="9"/>
      <c r="AJ10" s="9"/>
      <c r="AK10" s="9"/>
      <c r="AL10" s="9" t="s">
        <v>292</v>
      </c>
      <c r="AM10" s="10"/>
      <c r="AN10" s="9"/>
      <c r="AO10" s="114"/>
      <c r="AP10" s="8" t="s">
        <v>147</v>
      </c>
      <c r="AQ10" s="8" t="s">
        <v>147</v>
      </c>
      <c r="AR10" s="8" t="s">
        <v>147</v>
      </c>
      <c r="AS10" s="8" t="s">
        <v>147</v>
      </c>
      <c r="AT10" s="8" t="s">
        <v>147</v>
      </c>
      <c r="AU10" s="8" t="s">
        <v>147</v>
      </c>
      <c r="AV10" s="9"/>
      <c r="AW10" s="9"/>
      <c r="AX10" s="9" t="s">
        <v>147</v>
      </c>
      <c r="AY10" s="9"/>
      <c r="AZ10" s="114"/>
      <c r="BA10" s="35" t="s">
        <v>75</v>
      </c>
      <c r="BB10" s="115"/>
      <c r="BC10" s="8"/>
      <c r="BD10" s="9"/>
      <c r="BE10" s="9"/>
      <c r="BF10" s="9"/>
      <c r="BG10" s="9"/>
      <c r="BH10" s="9"/>
      <c r="BI10" s="9"/>
      <c r="BJ10" s="9"/>
      <c r="BK10" s="9"/>
      <c r="BL10" s="9"/>
      <c r="BM10" s="9" t="s">
        <v>292</v>
      </c>
      <c r="BN10" s="10"/>
      <c r="BO10" s="137"/>
      <c r="BP10" s="35">
        <v>0</v>
      </c>
      <c r="BQ10" s="8"/>
      <c r="BR10" s="9"/>
      <c r="BS10" s="9"/>
      <c r="BT10" s="9"/>
      <c r="BU10" s="9"/>
      <c r="BV10" s="9"/>
      <c r="BW10" s="9"/>
      <c r="BX10" s="9"/>
      <c r="BY10" s="9" t="s">
        <v>141</v>
      </c>
      <c r="BZ10" s="9" t="s">
        <v>293</v>
      </c>
      <c r="CA10" s="114"/>
      <c r="CB10" s="8" t="s">
        <v>74</v>
      </c>
      <c r="CC10" s="10"/>
      <c r="CD10" s="8"/>
      <c r="CE10" s="9"/>
      <c r="CF10" s="8"/>
      <c r="CG10" s="9"/>
      <c r="CH10" s="9"/>
      <c r="CI10" s="9"/>
      <c r="CJ10" s="9"/>
      <c r="CK10" s="10"/>
      <c r="CL10" t="s">
        <v>108</v>
      </c>
    </row>
    <row r="11" spans="1:92" x14ac:dyDescent="0.2">
      <c r="A11" s="68">
        <v>251</v>
      </c>
      <c r="B11" t="s">
        <v>141</v>
      </c>
      <c r="C11" t="s">
        <v>106</v>
      </c>
      <c r="D11" t="s">
        <v>338</v>
      </c>
      <c r="E11" s="8">
        <v>100000</v>
      </c>
      <c r="F11" s="10"/>
      <c r="G11" s="9"/>
      <c r="H11" s="9"/>
      <c r="I11" s="9"/>
      <c r="J11" s="9"/>
      <c r="K11" s="9"/>
      <c r="L11" s="9"/>
      <c r="M11" s="9"/>
      <c r="N11" s="9"/>
      <c r="O11" s="10" t="s">
        <v>292</v>
      </c>
      <c r="P11" s="8"/>
      <c r="Q11" s="9"/>
      <c r="R11" s="9"/>
      <c r="S11" s="9"/>
      <c r="T11" s="9"/>
      <c r="U11" s="10" t="s">
        <v>292</v>
      </c>
      <c r="V11" s="35"/>
      <c r="W11" s="8"/>
      <c r="X11" s="9"/>
      <c r="Y11" s="114"/>
      <c r="Z11" s="8"/>
      <c r="AA11" s="9"/>
      <c r="AB11" s="9"/>
      <c r="AC11" s="9"/>
      <c r="AD11" s="9"/>
      <c r="AE11" s="9"/>
      <c r="AF11" s="9"/>
      <c r="AG11" s="9"/>
      <c r="AH11" s="9"/>
      <c r="AI11" s="9"/>
      <c r="AJ11" s="9"/>
      <c r="AK11" s="9"/>
      <c r="AL11" s="9" t="s">
        <v>292</v>
      </c>
      <c r="AM11" s="10"/>
      <c r="AN11" s="9"/>
      <c r="AO11" s="114"/>
      <c r="AP11" s="8"/>
      <c r="AQ11" s="9"/>
      <c r="AR11" s="9"/>
      <c r="AS11" s="9"/>
      <c r="AT11" s="9"/>
      <c r="AU11" s="9"/>
      <c r="AV11" s="9"/>
      <c r="AW11" s="9"/>
      <c r="AX11" s="9"/>
      <c r="AY11" s="9"/>
      <c r="AZ11" s="114"/>
      <c r="BA11" s="35"/>
      <c r="BB11" s="115"/>
      <c r="BC11" s="8"/>
      <c r="BD11" s="9"/>
      <c r="BE11" s="9"/>
      <c r="BF11" s="9"/>
      <c r="BG11" s="9"/>
      <c r="BH11" s="9"/>
      <c r="BI11" s="9"/>
      <c r="BJ11" s="9"/>
      <c r="BK11" s="9"/>
      <c r="BL11" s="9"/>
      <c r="BM11" s="9" t="s">
        <v>292</v>
      </c>
      <c r="BN11" s="10"/>
      <c r="BO11" s="137"/>
      <c r="BP11" s="35"/>
      <c r="BQ11" s="8"/>
      <c r="BR11" s="9"/>
      <c r="BS11" s="9"/>
      <c r="BT11" s="9"/>
      <c r="BU11" s="9"/>
      <c r="BV11" s="9"/>
      <c r="BW11" s="9"/>
      <c r="BX11" s="9"/>
      <c r="BY11" s="9"/>
      <c r="BZ11" s="9" t="s">
        <v>292</v>
      </c>
      <c r="CA11" s="114"/>
      <c r="CB11" s="8"/>
      <c r="CC11" s="10"/>
      <c r="CD11" s="8"/>
      <c r="CE11" s="9"/>
      <c r="CF11" s="8"/>
      <c r="CG11" s="9"/>
      <c r="CH11" s="9"/>
      <c r="CI11" s="9"/>
      <c r="CJ11" s="9"/>
      <c r="CK11" s="10"/>
    </row>
    <row r="12" spans="1:92" x14ac:dyDescent="0.2">
      <c r="A12" s="68">
        <v>259</v>
      </c>
      <c r="B12" t="s">
        <v>141</v>
      </c>
      <c r="C12" t="s">
        <v>106</v>
      </c>
      <c r="D12" t="s">
        <v>338</v>
      </c>
      <c r="E12" s="8">
        <v>10000</v>
      </c>
      <c r="F12" s="10"/>
      <c r="G12" s="9">
        <v>10</v>
      </c>
      <c r="H12" s="9">
        <v>90</v>
      </c>
      <c r="I12" s="9">
        <v>0</v>
      </c>
      <c r="J12" s="9">
        <v>0</v>
      </c>
      <c r="K12" s="9">
        <v>1000</v>
      </c>
      <c r="L12" s="9">
        <v>9000</v>
      </c>
      <c r="M12" s="9">
        <v>0</v>
      </c>
      <c r="N12" s="9">
        <v>0</v>
      </c>
      <c r="O12" s="10" t="s">
        <v>293</v>
      </c>
      <c r="P12" s="8">
        <v>43.199999999999996</v>
      </c>
      <c r="Q12" s="9"/>
      <c r="R12" s="9"/>
      <c r="S12" s="9"/>
      <c r="T12" s="9" t="s">
        <v>141</v>
      </c>
      <c r="U12" s="10" t="s">
        <v>293</v>
      </c>
      <c r="V12" s="35" t="s">
        <v>141</v>
      </c>
      <c r="W12" s="8" t="s">
        <v>141</v>
      </c>
      <c r="X12" s="9"/>
      <c r="Y12" s="114"/>
      <c r="Z12" s="8">
        <v>8</v>
      </c>
      <c r="AA12" s="9">
        <v>90</v>
      </c>
      <c r="AB12" s="9">
        <v>1</v>
      </c>
      <c r="AC12" s="9">
        <v>0</v>
      </c>
      <c r="AD12" s="9">
        <v>1</v>
      </c>
      <c r="AE12" s="9">
        <v>0</v>
      </c>
      <c r="AF12" s="9">
        <v>80</v>
      </c>
      <c r="AG12" s="9">
        <v>900</v>
      </c>
      <c r="AH12" s="9">
        <v>10</v>
      </c>
      <c r="AI12" s="9">
        <v>0</v>
      </c>
      <c r="AJ12" s="9">
        <v>10</v>
      </c>
      <c r="AK12" s="9">
        <v>0</v>
      </c>
      <c r="AL12" s="9" t="s">
        <v>293</v>
      </c>
      <c r="AM12" s="10"/>
      <c r="AN12" s="9"/>
      <c r="AO12" s="114"/>
      <c r="AP12" s="8" t="s">
        <v>147</v>
      </c>
      <c r="AQ12" s="9" t="s">
        <v>147</v>
      </c>
      <c r="AR12" s="9" t="s">
        <v>147</v>
      </c>
      <c r="AS12" s="9"/>
      <c r="AT12" s="9" t="s">
        <v>147</v>
      </c>
      <c r="AU12" s="9"/>
      <c r="AV12" s="9"/>
      <c r="AW12" s="9"/>
      <c r="AX12" s="9"/>
      <c r="AY12" s="9"/>
      <c r="AZ12" s="114"/>
      <c r="BA12" s="35" t="s">
        <v>152</v>
      </c>
      <c r="BB12" s="115"/>
      <c r="BC12" s="8"/>
      <c r="BD12" s="9"/>
      <c r="BE12" s="9"/>
      <c r="BF12" s="9"/>
      <c r="BG12" s="9"/>
      <c r="BH12" s="9"/>
      <c r="BI12" s="9"/>
      <c r="BJ12" s="9"/>
      <c r="BK12" s="9"/>
      <c r="BL12" s="9"/>
      <c r="BM12" s="9" t="s">
        <v>292</v>
      </c>
      <c r="BN12" s="10"/>
      <c r="BO12" s="137"/>
      <c r="BP12" s="35"/>
      <c r="BQ12" s="8"/>
      <c r="BR12" s="9"/>
      <c r="BS12" s="9"/>
      <c r="BT12" s="9"/>
      <c r="BU12" s="9"/>
      <c r="BV12" s="9"/>
      <c r="BW12" s="9"/>
      <c r="BX12" s="9"/>
      <c r="BY12" s="9" t="s">
        <v>141</v>
      </c>
      <c r="BZ12" s="9" t="s">
        <v>293</v>
      </c>
      <c r="CA12" s="114"/>
      <c r="CB12" s="8" t="s">
        <v>152</v>
      </c>
      <c r="CC12" s="10"/>
      <c r="CD12" s="8" t="s">
        <v>141</v>
      </c>
      <c r="CE12" s="8">
        <v>0</v>
      </c>
      <c r="CF12" s="8"/>
      <c r="CG12" s="9"/>
      <c r="CH12" s="9"/>
      <c r="CI12" s="9"/>
      <c r="CJ12" s="9"/>
      <c r="CK12" s="10"/>
      <c r="CL12" t="s">
        <v>166</v>
      </c>
      <c r="CN12" t="s">
        <v>167</v>
      </c>
    </row>
    <row r="13" spans="1:92" x14ac:dyDescent="0.2">
      <c r="A13" s="68">
        <v>266</v>
      </c>
      <c r="B13" t="s">
        <v>75</v>
      </c>
      <c r="C13" t="s">
        <v>125</v>
      </c>
      <c r="D13" t="s">
        <v>338</v>
      </c>
      <c r="E13" s="8">
        <v>16000</v>
      </c>
      <c r="F13" s="10"/>
      <c r="G13" s="9">
        <v>100</v>
      </c>
      <c r="H13" s="9">
        <v>0</v>
      </c>
      <c r="I13" s="9">
        <v>0</v>
      </c>
      <c r="J13" s="9">
        <v>0</v>
      </c>
      <c r="K13" s="9">
        <v>16000</v>
      </c>
      <c r="L13" s="9">
        <v>0</v>
      </c>
      <c r="M13" s="9">
        <v>0</v>
      </c>
      <c r="N13" s="9">
        <v>0</v>
      </c>
      <c r="O13" s="10" t="s">
        <v>293</v>
      </c>
      <c r="P13" s="8">
        <v>43.62</v>
      </c>
      <c r="Q13" s="9"/>
      <c r="R13" s="9"/>
      <c r="S13" s="9"/>
      <c r="T13" s="9"/>
      <c r="U13" s="10" t="s">
        <v>293</v>
      </c>
      <c r="V13" s="35" t="s">
        <v>75</v>
      </c>
      <c r="W13" s="8" t="s">
        <v>75</v>
      </c>
      <c r="X13" s="9"/>
      <c r="Y13" s="114"/>
      <c r="Z13" s="8">
        <v>9.0909090909090917</v>
      </c>
      <c r="AA13" s="9">
        <v>18.181818181818183</v>
      </c>
      <c r="AB13" s="9">
        <v>36.363636363636367</v>
      </c>
      <c r="AC13" s="9">
        <v>18.181818181818183</v>
      </c>
      <c r="AD13" s="9">
        <v>18.181818181818183</v>
      </c>
      <c r="AE13" s="9">
        <v>0</v>
      </c>
      <c r="AF13" s="9">
        <v>1454.5454545454547</v>
      </c>
      <c r="AG13" s="9">
        <v>2909.0909090909095</v>
      </c>
      <c r="AH13" s="9">
        <v>5818.1818181818189</v>
      </c>
      <c r="AI13" s="9">
        <v>2909.0909090909095</v>
      </c>
      <c r="AJ13" s="9">
        <v>2909.0909090909095</v>
      </c>
      <c r="AK13" s="9">
        <v>0</v>
      </c>
      <c r="AL13" s="9" t="s">
        <v>293</v>
      </c>
      <c r="AM13" s="10" t="s">
        <v>141</v>
      </c>
      <c r="AN13" s="9"/>
      <c r="AO13" s="114"/>
      <c r="AP13" s="8"/>
      <c r="AQ13" s="9"/>
      <c r="AR13" s="9"/>
      <c r="AS13" s="9"/>
      <c r="AT13" s="9" t="s">
        <v>147</v>
      </c>
      <c r="AU13" s="9"/>
      <c r="AV13" s="9"/>
      <c r="AW13" s="9"/>
      <c r="AX13" s="9"/>
      <c r="AY13" s="9"/>
      <c r="AZ13" s="114"/>
      <c r="BA13" s="35" t="s">
        <v>152</v>
      </c>
      <c r="BB13" s="115"/>
      <c r="BC13" s="8"/>
      <c r="BD13" s="9"/>
      <c r="BE13" s="9"/>
      <c r="BF13" s="9"/>
      <c r="BG13" s="9"/>
      <c r="BH13" s="9"/>
      <c r="BI13" s="9"/>
      <c r="BJ13" s="9"/>
      <c r="BK13" s="9"/>
      <c r="BL13" s="9"/>
      <c r="BM13" s="9" t="s">
        <v>292</v>
      </c>
      <c r="BN13" s="10"/>
      <c r="BO13" s="137"/>
      <c r="BP13" s="35"/>
      <c r="BQ13" s="8"/>
      <c r="BR13" s="9"/>
      <c r="BS13" s="9"/>
      <c r="BT13" s="9"/>
      <c r="BU13" s="9"/>
      <c r="BV13" s="9"/>
      <c r="BW13" s="9"/>
      <c r="BX13" s="9"/>
      <c r="BY13" s="9"/>
      <c r="BZ13" s="9" t="s">
        <v>292</v>
      </c>
      <c r="CA13" s="114"/>
      <c r="CB13" s="8"/>
      <c r="CC13" s="10"/>
      <c r="CD13" s="8"/>
      <c r="CE13" s="9"/>
      <c r="CF13" s="8"/>
      <c r="CG13" s="9"/>
      <c r="CH13" s="9"/>
      <c r="CI13" s="9"/>
      <c r="CJ13" s="9"/>
      <c r="CK13" s="10"/>
      <c r="CL13" t="s">
        <v>168</v>
      </c>
      <c r="CM13" t="s">
        <v>169</v>
      </c>
      <c r="CN13" t="s">
        <v>170</v>
      </c>
    </row>
    <row r="14" spans="1:92" x14ac:dyDescent="0.2">
      <c r="A14" s="68">
        <v>267</v>
      </c>
      <c r="B14" t="s">
        <v>75</v>
      </c>
      <c r="C14" t="s">
        <v>125</v>
      </c>
      <c r="D14" t="s">
        <v>338</v>
      </c>
      <c r="E14" s="8">
        <v>200000</v>
      </c>
      <c r="F14" s="10"/>
      <c r="G14" s="9"/>
      <c r="H14" s="9"/>
      <c r="I14" s="9"/>
      <c r="J14" s="9"/>
      <c r="K14" s="9"/>
      <c r="L14" s="9"/>
      <c r="M14" s="9"/>
      <c r="N14" s="9"/>
      <c r="O14" s="10" t="s">
        <v>292</v>
      </c>
      <c r="P14" s="8"/>
      <c r="Q14" s="9"/>
      <c r="R14" s="9"/>
      <c r="S14" s="9"/>
      <c r="T14" s="9"/>
      <c r="U14" s="10" t="s">
        <v>292</v>
      </c>
      <c r="V14" s="35"/>
      <c r="W14" s="8"/>
      <c r="X14" s="9"/>
      <c r="Y14" s="114"/>
      <c r="Z14" s="8"/>
      <c r="AA14" s="9"/>
      <c r="AB14" s="9"/>
      <c r="AC14" s="9"/>
      <c r="AD14" s="9"/>
      <c r="AE14" s="9"/>
      <c r="AF14" s="9"/>
      <c r="AG14" s="9"/>
      <c r="AH14" s="9"/>
      <c r="AI14" s="9"/>
      <c r="AJ14" s="9"/>
      <c r="AK14" s="9"/>
      <c r="AL14" s="9" t="s">
        <v>292</v>
      </c>
      <c r="AM14" s="10"/>
      <c r="AN14" s="9"/>
      <c r="AO14" s="114"/>
      <c r="AP14" s="8"/>
      <c r="AQ14" s="9"/>
      <c r="AR14" s="9"/>
      <c r="AS14" s="9"/>
      <c r="AT14" s="9"/>
      <c r="AU14" s="9"/>
      <c r="AV14" s="9"/>
      <c r="AW14" s="9"/>
      <c r="AX14" s="9"/>
      <c r="AY14" s="9"/>
      <c r="AZ14" s="114"/>
      <c r="BA14" s="35"/>
      <c r="BB14" s="115"/>
      <c r="BC14" s="8"/>
      <c r="BD14" s="9"/>
      <c r="BE14" s="9"/>
      <c r="BF14" s="9"/>
      <c r="BG14" s="9"/>
      <c r="BH14" s="9"/>
      <c r="BI14" s="9"/>
      <c r="BJ14" s="9"/>
      <c r="BK14" s="9"/>
      <c r="BL14" s="9"/>
      <c r="BM14" s="9" t="s">
        <v>292</v>
      </c>
      <c r="BN14" s="10"/>
      <c r="BO14" s="137"/>
      <c r="BP14" s="35"/>
      <c r="BQ14" s="8"/>
      <c r="BR14" s="9"/>
      <c r="BS14" s="9"/>
      <c r="BT14" s="9"/>
      <c r="BU14" s="9"/>
      <c r="BV14" s="9"/>
      <c r="BW14" s="9"/>
      <c r="BX14" s="9"/>
      <c r="BY14" s="9"/>
      <c r="BZ14" s="9" t="s">
        <v>292</v>
      </c>
      <c r="CA14" s="114"/>
      <c r="CB14" s="8"/>
      <c r="CC14" s="10"/>
      <c r="CD14" s="8"/>
      <c r="CE14" s="9"/>
      <c r="CF14" s="8"/>
      <c r="CG14" s="9"/>
      <c r="CH14" s="9"/>
      <c r="CI14" s="9"/>
      <c r="CJ14" s="9"/>
      <c r="CK14" s="10"/>
    </row>
    <row r="15" spans="1:92" x14ac:dyDescent="0.2">
      <c r="A15" s="68">
        <v>303</v>
      </c>
      <c r="B15" t="s">
        <v>141</v>
      </c>
      <c r="C15" t="s">
        <v>125</v>
      </c>
      <c r="D15" t="s">
        <v>338</v>
      </c>
      <c r="E15" s="8">
        <v>353000</v>
      </c>
      <c r="F15" s="10"/>
      <c r="G15" s="9"/>
      <c r="H15" s="9"/>
      <c r="I15" s="9"/>
      <c r="J15" s="9"/>
      <c r="K15" s="9"/>
      <c r="L15" s="9"/>
      <c r="M15" s="9"/>
      <c r="N15" s="9"/>
      <c r="O15" s="10" t="s">
        <v>292</v>
      </c>
      <c r="P15" s="8"/>
      <c r="Q15" s="9"/>
      <c r="R15" s="9"/>
      <c r="S15" s="9"/>
      <c r="T15" s="9"/>
      <c r="U15" s="10" t="s">
        <v>292</v>
      </c>
      <c r="V15" s="35"/>
      <c r="W15" s="8"/>
      <c r="X15" s="9"/>
      <c r="Y15" s="114"/>
      <c r="Z15" s="8"/>
      <c r="AA15" s="9"/>
      <c r="AB15" s="9"/>
      <c r="AC15" s="9"/>
      <c r="AD15" s="9"/>
      <c r="AE15" s="9"/>
      <c r="AF15" s="9"/>
      <c r="AG15" s="9"/>
      <c r="AH15" s="9"/>
      <c r="AI15" s="9"/>
      <c r="AJ15" s="9"/>
      <c r="AK15" s="9"/>
      <c r="AL15" s="9" t="s">
        <v>292</v>
      </c>
      <c r="AM15" s="10"/>
      <c r="AN15" s="9"/>
      <c r="AO15" s="114"/>
      <c r="AP15" s="8"/>
      <c r="AQ15" s="9"/>
      <c r="AR15" s="9"/>
      <c r="AS15" s="9"/>
      <c r="AT15" s="9"/>
      <c r="AU15" s="9"/>
      <c r="AV15" s="9"/>
      <c r="AW15" s="9"/>
      <c r="AX15" s="9"/>
      <c r="AY15" s="9"/>
      <c r="AZ15" s="114"/>
      <c r="BA15" s="35"/>
      <c r="BB15" s="115"/>
      <c r="BC15" s="8"/>
      <c r="BD15" s="9"/>
      <c r="BE15" s="9"/>
      <c r="BF15" s="9"/>
      <c r="BG15" s="9"/>
      <c r="BH15" s="9"/>
      <c r="BI15" s="9"/>
      <c r="BJ15" s="9"/>
      <c r="BK15" s="9"/>
      <c r="BL15" s="9"/>
      <c r="BM15" s="9" t="s">
        <v>292</v>
      </c>
      <c r="BN15" s="10"/>
      <c r="BO15" s="137"/>
      <c r="BP15" s="35"/>
      <c r="BQ15" s="8"/>
      <c r="BR15" s="9"/>
      <c r="BS15" s="9"/>
      <c r="BT15" s="9"/>
      <c r="BU15" s="9"/>
      <c r="BV15" s="9"/>
      <c r="BW15" s="9"/>
      <c r="BX15" s="9"/>
      <c r="BY15" s="9"/>
      <c r="BZ15" s="9" t="s">
        <v>292</v>
      </c>
      <c r="CA15" s="114"/>
      <c r="CB15" s="8"/>
      <c r="CC15" s="10"/>
      <c r="CD15" s="8"/>
      <c r="CE15" s="9"/>
      <c r="CF15" s="8"/>
      <c r="CG15" s="9"/>
      <c r="CH15" s="9"/>
      <c r="CI15" s="9"/>
      <c r="CJ15" s="9"/>
      <c r="CK15" s="10"/>
    </row>
    <row r="16" spans="1:92" x14ac:dyDescent="0.2">
      <c r="A16" s="68">
        <v>376</v>
      </c>
      <c r="B16" t="s">
        <v>75</v>
      </c>
      <c r="C16" t="s">
        <v>90</v>
      </c>
      <c r="D16" t="s">
        <v>338</v>
      </c>
      <c r="E16" s="8">
        <v>100000</v>
      </c>
      <c r="F16" s="10"/>
      <c r="G16" s="9">
        <v>5</v>
      </c>
      <c r="H16" s="9">
        <v>95</v>
      </c>
      <c r="I16" s="9">
        <v>0</v>
      </c>
      <c r="J16" s="9">
        <v>0</v>
      </c>
      <c r="K16" s="9">
        <v>5000</v>
      </c>
      <c r="L16" s="9">
        <v>95000</v>
      </c>
      <c r="M16" s="9">
        <v>0</v>
      </c>
      <c r="N16" s="9">
        <v>0</v>
      </c>
      <c r="O16" s="10" t="s">
        <v>293</v>
      </c>
      <c r="P16" s="8"/>
      <c r="Q16" s="9"/>
      <c r="R16" s="9"/>
      <c r="S16" s="9"/>
      <c r="T16" s="9"/>
      <c r="U16" s="10" t="s">
        <v>292</v>
      </c>
      <c r="V16" s="35" t="s">
        <v>75</v>
      </c>
      <c r="W16" s="8" t="s">
        <v>75</v>
      </c>
      <c r="X16" s="9"/>
      <c r="Y16" s="114"/>
      <c r="Z16" s="8">
        <v>5</v>
      </c>
      <c r="AA16" s="9">
        <v>5</v>
      </c>
      <c r="AB16" s="9">
        <v>70</v>
      </c>
      <c r="AC16" s="9">
        <v>0</v>
      </c>
      <c r="AD16" s="9">
        <v>20</v>
      </c>
      <c r="AE16" s="9">
        <v>0</v>
      </c>
      <c r="AF16" s="9">
        <v>250</v>
      </c>
      <c r="AG16" s="9">
        <v>250</v>
      </c>
      <c r="AH16" s="9">
        <v>3500</v>
      </c>
      <c r="AI16" s="9">
        <v>0</v>
      </c>
      <c r="AJ16" s="9">
        <v>1000</v>
      </c>
      <c r="AK16" s="9">
        <v>0</v>
      </c>
      <c r="AL16" s="9" t="s">
        <v>293</v>
      </c>
      <c r="AM16" s="10"/>
      <c r="AN16" s="9"/>
      <c r="AO16" s="114"/>
      <c r="AP16" s="8"/>
      <c r="AQ16" s="9"/>
      <c r="AR16" s="9"/>
      <c r="AS16" s="9"/>
      <c r="AT16" s="9"/>
      <c r="AU16" s="9"/>
      <c r="AV16" s="9"/>
      <c r="AW16" s="9"/>
      <c r="AX16" s="9"/>
      <c r="AY16" s="9"/>
      <c r="AZ16" s="114"/>
      <c r="BA16" s="35" t="s">
        <v>152</v>
      </c>
      <c r="BB16" s="115"/>
      <c r="BC16" s="8"/>
      <c r="BD16" s="9"/>
      <c r="BE16" s="9"/>
      <c r="BF16" s="9"/>
      <c r="BG16" s="9"/>
      <c r="BH16" s="9"/>
      <c r="BI16" s="9"/>
      <c r="BJ16" s="9"/>
      <c r="BK16" s="9"/>
      <c r="BL16" s="9"/>
      <c r="BM16" s="9" t="s">
        <v>292</v>
      </c>
      <c r="BN16" s="10"/>
      <c r="BO16" s="137"/>
      <c r="BP16" s="35"/>
      <c r="BQ16" s="8"/>
      <c r="BR16" s="9"/>
      <c r="BS16" s="9"/>
      <c r="BT16" s="9"/>
      <c r="BU16" s="9"/>
      <c r="BV16" s="9"/>
      <c r="BW16" s="9"/>
      <c r="BX16" s="9"/>
      <c r="BY16" s="9"/>
      <c r="BZ16" s="9" t="s">
        <v>292</v>
      </c>
      <c r="CA16" s="114"/>
      <c r="CB16" s="8"/>
      <c r="CC16" s="10"/>
      <c r="CD16" s="8"/>
      <c r="CE16" s="9"/>
      <c r="CF16" s="8"/>
      <c r="CG16" s="9"/>
      <c r="CH16" s="9"/>
      <c r="CI16" s="9"/>
      <c r="CJ16" s="9"/>
      <c r="CK16" s="10"/>
      <c r="CL16" t="s">
        <v>91</v>
      </c>
    </row>
    <row r="17" spans="1:92" x14ac:dyDescent="0.2">
      <c r="A17" s="68">
        <v>398</v>
      </c>
      <c r="B17" t="s">
        <v>141</v>
      </c>
      <c r="C17" t="s">
        <v>90</v>
      </c>
      <c r="D17" t="s">
        <v>338</v>
      </c>
      <c r="E17" s="8">
        <v>50000</v>
      </c>
      <c r="F17" s="10"/>
      <c r="G17" s="9">
        <v>0</v>
      </c>
      <c r="H17" s="9">
        <v>67</v>
      </c>
      <c r="I17" s="9">
        <v>6</v>
      </c>
      <c r="J17" s="9">
        <v>27</v>
      </c>
      <c r="K17" s="9">
        <v>0</v>
      </c>
      <c r="L17" s="9">
        <v>33500</v>
      </c>
      <c r="M17" s="9">
        <v>3000</v>
      </c>
      <c r="N17" s="9">
        <v>13500</v>
      </c>
      <c r="O17" s="10" t="s">
        <v>293</v>
      </c>
      <c r="P17" s="8">
        <v>16.8</v>
      </c>
      <c r="Q17" s="9">
        <v>16.8</v>
      </c>
      <c r="R17" s="9">
        <v>14</v>
      </c>
      <c r="S17" s="9"/>
      <c r="T17" s="9" t="s">
        <v>141</v>
      </c>
      <c r="U17" s="10" t="s">
        <v>293</v>
      </c>
      <c r="V17" s="35" t="s">
        <v>141</v>
      </c>
      <c r="W17" s="8" t="s">
        <v>141</v>
      </c>
      <c r="X17" s="9"/>
      <c r="Y17" s="114"/>
      <c r="Z17" s="8"/>
      <c r="AA17" s="9"/>
      <c r="AB17" s="9"/>
      <c r="AC17" s="9"/>
      <c r="AD17" s="9"/>
      <c r="AE17" s="9"/>
      <c r="AF17" s="9"/>
      <c r="AG17" s="9"/>
      <c r="AH17" s="9"/>
      <c r="AI17" s="9"/>
      <c r="AJ17" s="9"/>
      <c r="AK17" s="9"/>
      <c r="AL17" s="9" t="s">
        <v>292</v>
      </c>
      <c r="AM17" s="10"/>
      <c r="AN17" s="9"/>
      <c r="AO17" s="114"/>
      <c r="AP17" s="8"/>
      <c r="AQ17" s="9"/>
      <c r="AR17" s="9"/>
      <c r="AS17" s="9"/>
      <c r="AT17" s="9" t="s">
        <v>147</v>
      </c>
      <c r="AU17" s="9"/>
      <c r="AV17" s="9"/>
      <c r="AW17" s="9"/>
      <c r="AX17" s="9" t="s">
        <v>147</v>
      </c>
      <c r="AY17" s="9" t="s">
        <v>147</v>
      </c>
      <c r="AZ17" s="114"/>
      <c r="BA17" s="35" t="s">
        <v>141</v>
      </c>
      <c r="BB17" s="115"/>
      <c r="BC17" s="8">
        <v>100</v>
      </c>
      <c r="BD17" s="9">
        <v>0</v>
      </c>
      <c r="BE17" s="9">
        <v>0</v>
      </c>
      <c r="BF17" s="9">
        <v>0</v>
      </c>
      <c r="BG17" s="9">
        <v>0</v>
      </c>
      <c r="BH17" s="9">
        <v>3000</v>
      </c>
      <c r="BI17" s="9">
        <v>0</v>
      </c>
      <c r="BJ17" s="9">
        <v>0</v>
      </c>
      <c r="BK17" s="9">
        <v>0</v>
      </c>
      <c r="BL17" s="9">
        <v>0</v>
      </c>
      <c r="BM17" s="9" t="s">
        <v>293</v>
      </c>
      <c r="BN17" s="10"/>
      <c r="BO17" s="137"/>
      <c r="BP17" s="35">
        <v>3300</v>
      </c>
      <c r="BQ17" s="8"/>
      <c r="BR17" s="9"/>
      <c r="BS17" s="9"/>
      <c r="BT17" s="9"/>
      <c r="BU17" s="9"/>
      <c r="BV17" s="9"/>
      <c r="BW17" s="9"/>
      <c r="BX17" s="9"/>
      <c r="BY17" s="9" t="s">
        <v>141</v>
      </c>
      <c r="BZ17" s="9" t="s">
        <v>293</v>
      </c>
      <c r="CA17" s="114"/>
      <c r="CB17" s="8" t="s">
        <v>152</v>
      </c>
      <c r="CC17" s="10"/>
      <c r="CD17" s="8" t="s">
        <v>141</v>
      </c>
      <c r="CE17" s="9">
        <v>0</v>
      </c>
      <c r="CF17" s="8"/>
      <c r="CG17" s="9"/>
      <c r="CH17" s="9"/>
      <c r="CI17" s="9"/>
      <c r="CJ17" s="9"/>
      <c r="CK17" s="10"/>
      <c r="CL17" t="s">
        <v>171</v>
      </c>
    </row>
    <row r="18" spans="1:92" x14ac:dyDescent="0.2">
      <c r="A18" s="68">
        <v>423</v>
      </c>
      <c r="B18" t="s">
        <v>75</v>
      </c>
      <c r="C18" t="s">
        <v>127</v>
      </c>
      <c r="D18" t="s">
        <v>338</v>
      </c>
      <c r="E18" s="8">
        <v>419091</v>
      </c>
      <c r="F18" s="10"/>
      <c r="G18" s="9">
        <v>0</v>
      </c>
      <c r="H18" s="9">
        <v>0</v>
      </c>
      <c r="I18" s="9">
        <v>100</v>
      </c>
      <c r="J18" s="9">
        <v>0</v>
      </c>
      <c r="K18" s="9">
        <v>0</v>
      </c>
      <c r="L18" s="9">
        <v>0</v>
      </c>
      <c r="M18" s="9">
        <v>8545</v>
      </c>
      <c r="N18" s="9">
        <v>0</v>
      </c>
      <c r="O18" s="10" t="s">
        <v>293</v>
      </c>
      <c r="P18" s="8">
        <v>60</v>
      </c>
      <c r="Q18" s="9"/>
      <c r="R18" s="9"/>
      <c r="S18" s="9"/>
      <c r="T18" s="9"/>
      <c r="U18" s="10" t="s">
        <v>293</v>
      </c>
      <c r="V18" s="35" t="s">
        <v>75</v>
      </c>
      <c r="W18" s="8" t="s">
        <v>74</v>
      </c>
      <c r="X18" s="9" t="s">
        <v>130</v>
      </c>
      <c r="Y18" s="114"/>
      <c r="Z18" s="8"/>
      <c r="AA18" s="9"/>
      <c r="AB18" s="9"/>
      <c r="AC18" s="9"/>
      <c r="AD18" s="9"/>
      <c r="AE18" s="9"/>
      <c r="AF18" s="9"/>
      <c r="AG18" s="9"/>
      <c r="AH18" s="9"/>
      <c r="AI18" s="9"/>
      <c r="AJ18" s="9"/>
      <c r="AK18" s="9"/>
      <c r="AL18" s="9" t="s">
        <v>292</v>
      </c>
      <c r="AM18" s="10"/>
      <c r="AN18" s="9"/>
      <c r="AO18" s="114"/>
      <c r="AP18" s="8" t="s">
        <v>147</v>
      </c>
      <c r="AQ18" s="8" t="s">
        <v>147</v>
      </c>
      <c r="AR18" s="8" t="s">
        <v>147</v>
      </c>
      <c r="AS18" s="8" t="s">
        <v>147</v>
      </c>
      <c r="AT18" s="8" t="s">
        <v>147</v>
      </c>
      <c r="AU18" s="9"/>
      <c r="AV18" s="9"/>
      <c r="AW18" s="9"/>
      <c r="AX18" s="9" t="s">
        <v>147</v>
      </c>
      <c r="AY18" s="9" t="s">
        <v>147</v>
      </c>
      <c r="AZ18" s="114"/>
      <c r="BA18" s="35" t="s">
        <v>75</v>
      </c>
      <c r="BB18" s="115"/>
      <c r="BC18" s="8">
        <v>85.956699824458752</v>
      </c>
      <c r="BD18" s="9">
        <v>5.8513750731421883</v>
      </c>
      <c r="BE18" s="9">
        <v>5.8513750731421883</v>
      </c>
      <c r="BF18" s="9">
        <v>2.3405500292568755</v>
      </c>
      <c r="BG18" s="9">
        <v>0</v>
      </c>
      <c r="BH18" s="9">
        <v>360236.79286132246</v>
      </c>
      <c r="BI18" s="9">
        <v>24522.586307782331</v>
      </c>
      <c r="BJ18" s="9">
        <v>24522.586307782331</v>
      </c>
      <c r="BK18" s="9">
        <v>9809.0345231129322</v>
      </c>
      <c r="BL18" s="9">
        <v>0</v>
      </c>
      <c r="BM18" s="9" t="s">
        <v>293</v>
      </c>
      <c r="BN18" s="10"/>
      <c r="BO18" s="137"/>
      <c r="BP18" s="35">
        <v>0</v>
      </c>
      <c r="BQ18" s="8">
        <v>5</v>
      </c>
      <c r="BR18" s="9">
        <v>0</v>
      </c>
      <c r="BS18" s="9"/>
      <c r="BT18" s="9"/>
      <c r="BU18" s="9"/>
      <c r="BV18" s="9"/>
      <c r="BW18" s="9"/>
      <c r="BX18" s="9"/>
      <c r="BY18" s="9"/>
      <c r="BZ18" s="9" t="s">
        <v>293</v>
      </c>
      <c r="CA18" s="114"/>
      <c r="CB18" s="8" t="s">
        <v>74</v>
      </c>
      <c r="CC18" s="10"/>
      <c r="CD18" s="8"/>
      <c r="CE18" s="8"/>
      <c r="CF18" s="8"/>
      <c r="CG18" s="9"/>
      <c r="CH18" s="9"/>
      <c r="CI18" s="9"/>
      <c r="CJ18" s="9"/>
      <c r="CK18" s="10"/>
      <c r="CL18" t="s">
        <v>128</v>
      </c>
      <c r="CM18" t="s">
        <v>129</v>
      </c>
    </row>
    <row r="19" spans="1:92" x14ac:dyDescent="0.2">
      <c r="A19" s="68">
        <v>531</v>
      </c>
      <c r="B19" t="s">
        <v>75</v>
      </c>
      <c r="C19" t="s">
        <v>179</v>
      </c>
      <c r="D19" t="s">
        <v>338</v>
      </c>
      <c r="E19" s="8">
        <v>1240</v>
      </c>
      <c r="F19" s="10"/>
      <c r="G19" s="9">
        <v>30</v>
      </c>
      <c r="H19" s="9">
        <v>60</v>
      </c>
      <c r="I19" s="9">
        <v>0</v>
      </c>
      <c r="J19" s="9">
        <v>10</v>
      </c>
      <c r="K19" s="9">
        <v>10347.300000000001</v>
      </c>
      <c r="L19" s="9">
        <v>20694.600000000002</v>
      </c>
      <c r="M19" s="9">
        <v>0</v>
      </c>
      <c r="N19" s="9">
        <v>3449.1</v>
      </c>
      <c r="O19" s="10" t="s">
        <v>293</v>
      </c>
      <c r="P19" s="8">
        <v>19.2</v>
      </c>
      <c r="Q19" s="9"/>
      <c r="R19" s="9"/>
      <c r="S19" s="9"/>
      <c r="T19" s="9"/>
      <c r="U19" s="10" t="s">
        <v>293</v>
      </c>
      <c r="V19" s="35" t="s">
        <v>75</v>
      </c>
      <c r="W19" s="8" t="s">
        <v>75</v>
      </c>
      <c r="X19" s="9"/>
      <c r="Y19" s="114"/>
      <c r="Z19" s="8">
        <v>100</v>
      </c>
      <c r="AA19" s="9">
        <v>0</v>
      </c>
      <c r="AB19" s="9">
        <v>0</v>
      </c>
      <c r="AC19" s="9">
        <v>0</v>
      </c>
      <c r="AD19" s="9">
        <v>0</v>
      </c>
      <c r="AE19" s="9">
        <v>0</v>
      </c>
      <c r="AF19" s="9">
        <v>10347.300000000001</v>
      </c>
      <c r="AG19" s="9">
        <v>0</v>
      </c>
      <c r="AH19" s="9">
        <v>0</v>
      </c>
      <c r="AI19" s="9">
        <v>0</v>
      </c>
      <c r="AJ19" s="9">
        <v>0</v>
      </c>
      <c r="AK19" s="9">
        <v>0</v>
      </c>
      <c r="AL19" s="9" t="s">
        <v>293</v>
      </c>
      <c r="AM19" s="10"/>
      <c r="AN19" s="9"/>
      <c r="AO19" s="114"/>
      <c r="AP19" s="8"/>
      <c r="AQ19" s="9"/>
      <c r="AR19" s="9" t="s">
        <v>147</v>
      </c>
      <c r="AS19" s="9"/>
      <c r="AT19" s="9" t="s">
        <v>147</v>
      </c>
      <c r="AU19" s="9"/>
      <c r="AV19" s="9"/>
      <c r="AW19" s="9"/>
      <c r="AX19" s="9"/>
      <c r="AY19" s="9"/>
      <c r="AZ19" s="114"/>
      <c r="BA19" s="35" t="s">
        <v>152</v>
      </c>
      <c r="BB19" s="115"/>
      <c r="BC19" s="8"/>
      <c r="BD19" s="9"/>
      <c r="BE19" s="9"/>
      <c r="BF19" s="9"/>
      <c r="BG19" s="9"/>
      <c r="BH19" s="9"/>
      <c r="BI19" s="9"/>
      <c r="BJ19" s="9"/>
      <c r="BK19" s="9"/>
      <c r="BL19" s="9"/>
      <c r="BM19" s="9" t="s">
        <v>292</v>
      </c>
      <c r="BN19" s="10"/>
      <c r="BO19" s="137"/>
      <c r="BP19" s="35"/>
      <c r="BQ19" s="8"/>
      <c r="BR19" s="9"/>
      <c r="BS19" s="9"/>
      <c r="BT19" s="9"/>
      <c r="BU19" s="9"/>
      <c r="BV19" s="9"/>
      <c r="BW19" s="9"/>
      <c r="BX19" s="9"/>
      <c r="BY19" s="9"/>
      <c r="BZ19" s="9" t="s">
        <v>292</v>
      </c>
      <c r="CA19" s="114"/>
      <c r="CB19" s="8"/>
      <c r="CC19" s="10"/>
      <c r="CD19" s="8"/>
      <c r="CE19" s="9"/>
      <c r="CF19" s="8"/>
      <c r="CG19" s="9"/>
      <c r="CH19" s="9"/>
      <c r="CI19" s="9"/>
      <c r="CJ19" s="9"/>
      <c r="CK19" s="10"/>
    </row>
    <row r="20" spans="1:92" x14ac:dyDescent="0.2">
      <c r="A20" s="68">
        <v>534</v>
      </c>
      <c r="B20" t="s">
        <v>141</v>
      </c>
      <c r="C20" t="s">
        <v>179</v>
      </c>
      <c r="D20" t="s">
        <v>338</v>
      </c>
      <c r="E20" s="8">
        <v>1574</v>
      </c>
      <c r="F20" s="10"/>
      <c r="G20" s="9">
        <v>85.06988564167726</v>
      </c>
      <c r="H20" s="9">
        <v>14.930114358322744</v>
      </c>
      <c r="I20" s="9">
        <v>0</v>
      </c>
      <c r="J20" s="9">
        <v>0</v>
      </c>
      <c r="K20" s="9">
        <v>1339</v>
      </c>
      <c r="L20" s="9">
        <v>235</v>
      </c>
      <c r="M20" s="9">
        <v>0</v>
      </c>
      <c r="N20" s="9">
        <v>0</v>
      </c>
      <c r="O20" s="10" t="s">
        <v>293</v>
      </c>
      <c r="P20" s="8"/>
      <c r="Q20" s="9"/>
      <c r="R20" s="9"/>
      <c r="S20" s="9"/>
      <c r="T20" s="9"/>
      <c r="U20" s="10" t="s">
        <v>292</v>
      </c>
      <c r="V20" s="35" t="s">
        <v>141</v>
      </c>
      <c r="W20" s="8" t="s">
        <v>141</v>
      </c>
      <c r="X20" s="9"/>
      <c r="Y20" s="114"/>
      <c r="Z20" s="8">
        <v>78.22057460611677</v>
      </c>
      <c r="AA20" s="9">
        <v>4.1705282669138093</v>
      </c>
      <c r="AB20" s="9">
        <v>17.608897126969417</v>
      </c>
      <c r="AC20" s="9">
        <v>0</v>
      </c>
      <c r="AD20" s="9">
        <v>0</v>
      </c>
      <c r="AE20" s="9">
        <v>0</v>
      </c>
      <c r="AF20" s="9">
        <v>1047.3734939759036</v>
      </c>
      <c r="AG20" s="9">
        <v>55.843373493975903</v>
      </c>
      <c r="AH20" s="9">
        <v>235.7831325301205</v>
      </c>
      <c r="AI20" s="9">
        <v>0</v>
      </c>
      <c r="AJ20" s="9">
        <v>0</v>
      </c>
      <c r="AK20" s="9">
        <v>0</v>
      </c>
      <c r="AL20" s="9" t="s">
        <v>293</v>
      </c>
      <c r="AM20" s="10" t="s">
        <v>141</v>
      </c>
      <c r="AN20" s="9"/>
      <c r="AO20" s="114"/>
      <c r="AP20" s="8"/>
      <c r="AQ20" s="9"/>
      <c r="AR20" s="9"/>
      <c r="AS20" s="9"/>
      <c r="AT20" s="9" t="s">
        <v>147</v>
      </c>
      <c r="AU20" s="9"/>
      <c r="AV20" s="9"/>
      <c r="AW20" s="9"/>
      <c r="AX20" s="9"/>
      <c r="AY20" s="9"/>
      <c r="AZ20" s="114"/>
      <c r="BA20" s="35" t="s">
        <v>152</v>
      </c>
      <c r="BB20" s="115"/>
      <c r="BC20" s="8"/>
      <c r="BD20" s="9"/>
      <c r="BE20" s="9"/>
      <c r="BF20" s="9"/>
      <c r="BG20" s="9"/>
      <c r="BH20" s="9"/>
      <c r="BI20" s="9"/>
      <c r="BJ20" s="9"/>
      <c r="BK20" s="9"/>
      <c r="BL20" s="9"/>
      <c r="BM20" s="9" t="s">
        <v>292</v>
      </c>
      <c r="BN20" s="10"/>
      <c r="BO20" s="137"/>
      <c r="BP20" s="35">
        <v>0</v>
      </c>
      <c r="BQ20" s="8"/>
      <c r="BR20" s="9"/>
      <c r="BS20" s="9"/>
      <c r="BT20" s="9"/>
      <c r="BU20" s="9"/>
      <c r="BV20" s="9"/>
      <c r="BW20" s="9"/>
      <c r="BX20" s="9"/>
      <c r="BY20" s="9" t="s">
        <v>141</v>
      </c>
      <c r="BZ20" s="9" t="s">
        <v>293</v>
      </c>
      <c r="CA20" s="114"/>
      <c r="CB20" s="8" t="s">
        <v>152</v>
      </c>
      <c r="CC20" s="10"/>
      <c r="CD20" s="8" t="s">
        <v>141</v>
      </c>
      <c r="CE20" s="9">
        <v>0</v>
      </c>
      <c r="CF20" s="8"/>
      <c r="CG20" s="9"/>
      <c r="CH20" s="9"/>
      <c r="CI20" s="9"/>
      <c r="CJ20" s="9"/>
      <c r="CK20" s="10"/>
      <c r="CL20" t="s">
        <v>180</v>
      </c>
      <c r="CM20" t="s">
        <v>181</v>
      </c>
      <c r="CN20" t="s">
        <v>182</v>
      </c>
    </row>
    <row r="21" spans="1:92" x14ac:dyDescent="0.2">
      <c r="A21" s="68">
        <v>582</v>
      </c>
      <c r="B21" t="s">
        <v>141</v>
      </c>
      <c r="C21" t="s">
        <v>179</v>
      </c>
      <c r="D21" t="s">
        <v>338</v>
      </c>
      <c r="E21" s="8">
        <v>1626</v>
      </c>
      <c r="F21" s="10"/>
      <c r="G21" s="9">
        <v>50</v>
      </c>
      <c r="H21" s="9">
        <v>0</v>
      </c>
      <c r="I21" s="9">
        <v>50</v>
      </c>
      <c r="J21" s="9">
        <v>0</v>
      </c>
      <c r="K21" s="9">
        <v>813</v>
      </c>
      <c r="L21" s="9">
        <v>0</v>
      </c>
      <c r="M21" s="9">
        <v>813</v>
      </c>
      <c r="N21" s="9">
        <v>0</v>
      </c>
      <c r="O21" s="10" t="s">
        <v>293</v>
      </c>
      <c r="P21" s="8"/>
      <c r="Q21" s="9"/>
      <c r="R21" s="9"/>
      <c r="S21" s="9"/>
      <c r="T21" s="9"/>
      <c r="U21" s="10" t="s">
        <v>292</v>
      </c>
      <c r="V21" s="35" t="s">
        <v>141</v>
      </c>
      <c r="W21" s="8" t="s">
        <v>152</v>
      </c>
      <c r="X21" s="9" t="s">
        <v>183</v>
      </c>
      <c r="Y21" s="114"/>
      <c r="Z21" s="8">
        <v>100</v>
      </c>
      <c r="AA21" s="9">
        <v>0</v>
      </c>
      <c r="AB21" s="9">
        <v>0</v>
      </c>
      <c r="AC21" s="9">
        <v>0</v>
      </c>
      <c r="AD21" s="9">
        <v>0</v>
      </c>
      <c r="AE21" s="9">
        <v>0</v>
      </c>
      <c r="AF21" s="9">
        <v>813</v>
      </c>
      <c r="AG21" s="9">
        <v>0</v>
      </c>
      <c r="AH21" s="9">
        <v>0</v>
      </c>
      <c r="AI21" s="9">
        <v>0</v>
      </c>
      <c r="AJ21" s="9">
        <v>0</v>
      </c>
      <c r="AK21" s="9">
        <v>0</v>
      </c>
      <c r="AL21" s="9" t="s">
        <v>293</v>
      </c>
      <c r="AM21" s="10"/>
      <c r="AN21" s="9"/>
      <c r="AO21" s="114"/>
      <c r="AP21" s="8"/>
      <c r="AQ21" s="9"/>
      <c r="AR21" s="9"/>
      <c r="AS21" s="9"/>
      <c r="AT21" s="9"/>
      <c r="AU21" s="9"/>
      <c r="AV21" s="9"/>
      <c r="AW21" s="9"/>
      <c r="AX21" s="9"/>
      <c r="AY21" s="9"/>
      <c r="AZ21" s="114"/>
      <c r="BA21" s="35" t="s">
        <v>146</v>
      </c>
      <c r="BB21" s="115"/>
      <c r="BC21" s="8"/>
      <c r="BD21" s="9"/>
      <c r="BE21" s="9"/>
      <c r="BF21" s="9"/>
      <c r="BG21" s="9"/>
      <c r="BH21" s="9"/>
      <c r="BI21" s="9"/>
      <c r="BJ21" s="9"/>
      <c r="BK21" s="9"/>
      <c r="BL21" s="9"/>
      <c r="BM21" s="9" t="s">
        <v>292</v>
      </c>
      <c r="BN21" s="10"/>
      <c r="BO21" s="137"/>
      <c r="BP21" s="35"/>
      <c r="BQ21" s="8"/>
      <c r="BR21" s="9"/>
      <c r="BS21" s="9"/>
      <c r="BT21" s="9"/>
      <c r="BU21" s="9"/>
      <c r="BV21" s="9"/>
      <c r="BW21" s="9"/>
      <c r="BX21" s="9"/>
      <c r="BY21" s="9"/>
      <c r="BZ21" s="9" t="s">
        <v>292</v>
      </c>
      <c r="CA21" s="114"/>
      <c r="CB21" s="8"/>
      <c r="CC21" s="10"/>
      <c r="CD21" s="8"/>
      <c r="CE21" s="9"/>
      <c r="CF21" s="8"/>
      <c r="CG21" s="9"/>
      <c r="CH21" s="9"/>
      <c r="CI21" s="9"/>
      <c r="CJ21" s="9"/>
      <c r="CK21" s="10"/>
      <c r="CM21" t="s">
        <v>184</v>
      </c>
      <c r="CN21" t="s">
        <v>185</v>
      </c>
    </row>
    <row r="22" spans="1:92" x14ac:dyDescent="0.2">
      <c r="A22" s="68">
        <v>731</v>
      </c>
      <c r="B22" t="s">
        <v>75</v>
      </c>
      <c r="C22" t="s">
        <v>127</v>
      </c>
      <c r="D22" t="s">
        <v>338</v>
      </c>
      <c r="E22" s="8">
        <v>4500</v>
      </c>
      <c r="F22" s="10"/>
      <c r="G22" s="9">
        <v>0</v>
      </c>
      <c r="H22" s="9">
        <v>100</v>
      </c>
      <c r="I22" s="9">
        <v>0</v>
      </c>
      <c r="J22" s="9">
        <v>0</v>
      </c>
      <c r="K22" s="9">
        <v>0</v>
      </c>
      <c r="L22" s="9">
        <v>4500</v>
      </c>
      <c r="M22" s="9">
        <v>0</v>
      </c>
      <c r="N22" s="9">
        <v>0</v>
      </c>
      <c r="O22" s="10" t="s">
        <v>293</v>
      </c>
      <c r="P22" s="8">
        <v>60</v>
      </c>
      <c r="Q22" s="9"/>
      <c r="R22" s="9"/>
      <c r="S22" s="9"/>
      <c r="T22" s="9" t="s">
        <v>297</v>
      </c>
      <c r="U22" s="10" t="s">
        <v>293</v>
      </c>
      <c r="V22" s="35" t="s">
        <v>75</v>
      </c>
      <c r="W22" s="8" t="s">
        <v>75</v>
      </c>
      <c r="X22" s="9"/>
      <c r="Y22" s="114"/>
      <c r="Z22" s="8"/>
      <c r="AA22" s="9"/>
      <c r="AB22" s="9"/>
      <c r="AC22" s="9"/>
      <c r="AD22" s="9"/>
      <c r="AE22" s="9"/>
      <c r="AF22" s="9"/>
      <c r="AG22" s="9"/>
      <c r="AH22" s="9"/>
      <c r="AI22" s="9"/>
      <c r="AJ22" s="9"/>
      <c r="AK22" s="9"/>
      <c r="AL22" s="9" t="s">
        <v>292</v>
      </c>
      <c r="AM22" s="10"/>
      <c r="AN22" s="9"/>
      <c r="AO22" s="114"/>
      <c r="AP22" s="8"/>
      <c r="AQ22" s="9"/>
      <c r="AR22" s="9" t="s">
        <v>151</v>
      </c>
      <c r="AS22" s="9"/>
      <c r="AT22" s="9" t="s">
        <v>147</v>
      </c>
      <c r="AU22" s="9"/>
      <c r="AV22" s="9"/>
      <c r="AW22" s="9"/>
      <c r="AX22" s="9"/>
      <c r="AY22" s="9"/>
      <c r="AZ22" s="114"/>
      <c r="BA22" s="35" t="s">
        <v>75</v>
      </c>
      <c r="BB22" s="115"/>
      <c r="BC22" s="8"/>
      <c r="BD22" s="9"/>
      <c r="BE22" s="9"/>
      <c r="BF22" s="9"/>
      <c r="BG22" s="9"/>
      <c r="BH22" s="9"/>
      <c r="BI22" s="9"/>
      <c r="BJ22" s="9"/>
      <c r="BK22" s="9"/>
      <c r="BL22" s="9"/>
      <c r="BM22" s="9" t="s">
        <v>292</v>
      </c>
      <c r="BN22" s="10"/>
      <c r="BO22" s="137"/>
      <c r="BP22" s="35">
        <v>0</v>
      </c>
      <c r="BQ22" s="8">
        <v>18</v>
      </c>
      <c r="BR22" s="9">
        <v>0</v>
      </c>
      <c r="BS22" s="9"/>
      <c r="BT22" s="9"/>
      <c r="BU22" s="9"/>
      <c r="BV22" s="9"/>
      <c r="BW22" s="9"/>
      <c r="BX22" s="9"/>
      <c r="BY22" s="9"/>
      <c r="BZ22" s="9" t="s">
        <v>293</v>
      </c>
      <c r="CA22" s="114"/>
      <c r="CB22" s="8" t="s">
        <v>74</v>
      </c>
      <c r="CC22" s="10"/>
      <c r="CD22" s="8"/>
      <c r="CE22" s="9"/>
      <c r="CF22" s="8"/>
      <c r="CG22" s="9"/>
      <c r="CH22" s="9"/>
      <c r="CI22" s="9"/>
      <c r="CJ22" s="9"/>
      <c r="CK22" s="10"/>
      <c r="CL22" t="s">
        <v>128</v>
      </c>
      <c r="CM22" t="s">
        <v>129</v>
      </c>
    </row>
    <row r="23" spans="1:92" x14ac:dyDescent="0.2">
      <c r="A23" s="68">
        <v>774</v>
      </c>
      <c r="B23" t="s">
        <v>75</v>
      </c>
      <c r="C23" t="s">
        <v>179</v>
      </c>
      <c r="D23" t="s">
        <v>338</v>
      </c>
      <c r="E23" s="8">
        <v>22000</v>
      </c>
      <c r="F23" s="10"/>
      <c r="G23" s="9">
        <v>67.503176620076246</v>
      </c>
      <c r="H23" s="9">
        <v>32.496823379923761</v>
      </c>
      <c r="I23" s="9">
        <v>0</v>
      </c>
      <c r="J23" s="9">
        <v>0</v>
      </c>
      <c r="K23" s="9">
        <v>14850.698856416773</v>
      </c>
      <c r="L23" s="9">
        <v>7149.3011435832268</v>
      </c>
      <c r="M23" s="9">
        <v>0</v>
      </c>
      <c r="N23" s="9">
        <v>0</v>
      </c>
      <c r="O23" s="10" t="s">
        <v>293</v>
      </c>
      <c r="P23" s="8">
        <v>20</v>
      </c>
      <c r="Q23" s="9">
        <v>20</v>
      </c>
      <c r="R23" s="9">
        <v>10</v>
      </c>
      <c r="S23" s="9">
        <v>13.5</v>
      </c>
      <c r="T23" s="9"/>
      <c r="U23" s="10" t="s">
        <v>293</v>
      </c>
      <c r="V23" s="35" t="s">
        <v>141</v>
      </c>
      <c r="W23" s="8" t="s">
        <v>141</v>
      </c>
      <c r="X23" s="9"/>
      <c r="Y23" s="114"/>
      <c r="Z23" s="8">
        <v>10</v>
      </c>
      <c r="AA23" s="9">
        <v>75</v>
      </c>
      <c r="AB23" s="9">
        <v>0</v>
      </c>
      <c r="AC23" s="9">
        <v>0</v>
      </c>
      <c r="AD23" s="9">
        <v>10</v>
      </c>
      <c r="AE23" s="9">
        <v>5</v>
      </c>
      <c r="AF23" s="9">
        <v>1485.0698856416773</v>
      </c>
      <c r="AG23" s="9">
        <v>11138.024142312581</v>
      </c>
      <c r="AH23" s="9">
        <v>0</v>
      </c>
      <c r="AI23" s="9">
        <v>0</v>
      </c>
      <c r="AJ23" s="9">
        <v>1485.0698856416773</v>
      </c>
      <c r="AK23" s="9">
        <v>742.53494282083864</v>
      </c>
      <c r="AL23" s="9" t="s">
        <v>293</v>
      </c>
      <c r="AM23" s="10"/>
      <c r="AN23" s="9"/>
      <c r="AO23" s="114"/>
      <c r="AP23" s="8"/>
      <c r="AQ23" s="9"/>
      <c r="AR23" s="9" t="s">
        <v>147</v>
      </c>
      <c r="AS23" s="9"/>
      <c r="AT23" s="9" t="s">
        <v>147</v>
      </c>
      <c r="AU23" s="9"/>
      <c r="AV23" s="9" t="s">
        <v>151</v>
      </c>
      <c r="AW23" s="9"/>
      <c r="AX23" s="9"/>
      <c r="AY23" s="9"/>
      <c r="AZ23" s="114"/>
      <c r="BA23" s="35" t="s">
        <v>152</v>
      </c>
      <c r="BB23" s="115"/>
      <c r="BC23" s="8"/>
      <c r="BD23" s="9"/>
      <c r="BE23" s="9"/>
      <c r="BF23" s="9"/>
      <c r="BG23" s="9"/>
      <c r="BH23" s="9"/>
      <c r="BI23" s="9"/>
      <c r="BJ23" s="9"/>
      <c r="BK23" s="9"/>
      <c r="BL23" s="9"/>
      <c r="BM23" s="9" t="s">
        <v>292</v>
      </c>
      <c r="BN23" s="10"/>
      <c r="BO23" s="137"/>
      <c r="BP23" s="35">
        <v>0</v>
      </c>
      <c r="BQ23" s="8"/>
      <c r="BR23" s="9"/>
      <c r="BS23" s="9"/>
      <c r="BT23" s="9"/>
      <c r="BU23" s="9"/>
      <c r="BV23" s="9"/>
      <c r="BW23" s="9"/>
      <c r="BX23" s="9"/>
      <c r="BY23" s="9" t="s">
        <v>141</v>
      </c>
      <c r="BZ23" s="9" t="s">
        <v>293</v>
      </c>
      <c r="CA23" s="114"/>
      <c r="CB23" s="8" t="s">
        <v>74</v>
      </c>
      <c r="CC23" s="10"/>
      <c r="CD23" s="8"/>
      <c r="CE23" s="9"/>
      <c r="CF23" s="8"/>
      <c r="CG23" s="9"/>
      <c r="CH23" s="9"/>
      <c r="CI23" s="9"/>
      <c r="CJ23" s="9"/>
      <c r="CK23" s="10"/>
      <c r="CL23" t="s">
        <v>212</v>
      </c>
      <c r="CM23" t="s">
        <v>213</v>
      </c>
      <c r="CN23" t="s">
        <v>214</v>
      </c>
    </row>
    <row r="24" spans="1:92" x14ac:dyDescent="0.2">
      <c r="A24" s="68">
        <v>2191</v>
      </c>
      <c r="B24" t="s">
        <v>75</v>
      </c>
      <c r="C24" t="s">
        <v>121</v>
      </c>
      <c r="D24" t="s">
        <v>338</v>
      </c>
      <c r="E24" s="8">
        <v>80000</v>
      </c>
      <c r="F24" s="10"/>
      <c r="G24" s="9">
        <v>60</v>
      </c>
      <c r="H24" s="9">
        <v>36</v>
      </c>
      <c r="I24" s="9">
        <v>2</v>
      </c>
      <c r="J24" s="9">
        <v>2</v>
      </c>
      <c r="K24" s="9">
        <v>48000</v>
      </c>
      <c r="L24" s="9">
        <v>28800</v>
      </c>
      <c r="M24" s="9">
        <v>1600</v>
      </c>
      <c r="N24" s="9">
        <v>1600</v>
      </c>
      <c r="O24" s="10" t="s">
        <v>293</v>
      </c>
      <c r="P24" s="8">
        <v>24.5</v>
      </c>
      <c r="Q24" s="9">
        <v>24.5</v>
      </c>
      <c r="R24" s="9">
        <v>24.5</v>
      </c>
      <c r="S24" s="9">
        <v>24.5</v>
      </c>
      <c r="T24" s="9"/>
      <c r="U24" s="10" t="s">
        <v>293</v>
      </c>
      <c r="V24" s="35" t="s">
        <v>75</v>
      </c>
      <c r="W24" s="8" t="s">
        <v>75</v>
      </c>
      <c r="X24" s="9"/>
      <c r="Y24" s="114"/>
      <c r="Z24" s="8">
        <v>5</v>
      </c>
      <c r="AA24" s="9">
        <v>5</v>
      </c>
      <c r="AB24" s="9">
        <v>85</v>
      </c>
      <c r="AC24" s="9">
        <v>0</v>
      </c>
      <c r="AD24" s="9">
        <v>5</v>
      </c>
      <c r="AE24" s="9">
        <v>0</v>
      </c>
      <c r="AF24" s="9">
        <v>2400</v>
      </c>
      <c r="AG24" s="9">
        <v>2400</v>
      </c>
      <c r="AH24" s="9">
        <v>40800</v>
      </c>
      <c r="AI24" s="9">
        <v>0</v>
      </c>
      <c r="AJ24" s="9">
        <v>2400</v>
      </c>
      <c r="AK24" s="9">
        <v>0</v>
      </c>
      <c r="AL24" s="9" t="s">
        <v>293</v>
      </c>
      <c r="AM24" s="10"/>
      <c r="AN24" s="9"/>
      <c r="AO24" s="114"/>
      <c r="AP24" s="8"/>
      <c r="AQ24" s="9"/>
      <c r="AR24" s="9" t="s">
        <v>147</v>
      </c>
      <c r="AS24" s="9" t="s">
        <v>147</v>
      </c>
      <c r="AT24" s="9" t="s">
        <v>147</v>
      </c>
      <c r="AU24" s="9" t="s">
        <v>147</v>
      </c>
      <c r="AV24" s="9"/>
      <c r="AW24" s="9"/>
      <c r="AX24" s="9" t="s">
        <v>147</v>
      </c>
      <c r="AY24" s="9" t="s">
        <v>147</v>
      </c>
      <c r="AZ24" s="114"/>
      <c r="BA24" s="35" t="s">
        <v>75</v>
      </c>
      <c r="BB24" s="115"/>
      <c r="BC24" s="8">
        <v>60</v>
      </c>
      <c r="BD24" s="9">
        <v>0</v>
      </c>
      <c r="BE24" s="9">
        <v>0</v>
      </c>
      <c r="BF24" s="9">
        <v>40</v>
      </c>
      <c r="BG24" s="9">
        <v>0</v>
      </c>
      <c r="BH24" s="9">
        <v>960</v>
      </c>
      <c r="BI24" s="9">
        <v>0</v>
      </c>
      <c r="BJ24" s="9">
        <v>0</v>
      </c>
      <c r="BK24" s="9">
        <v>640</v>
      </c>
      <c r="BL24" s="9">
        <v>0</v>
      </c>
      <c r="BM24" s="9" t="s">
        <v>293</v>
      </c>
      <c r="BN24" s="10"/>
      <c r="BO24" s="137"/>
      <c r="BP24" s="35">
        <v>100</v>
      </c>
      <c r="BQ24" s="8"/>
      <c r="BR24" s="9"/>
      <c r="BS24" s="9"/>
      <c r="BT24" s="9"/>
      <c r="BU24" s="9"/>
      <c r="BV24" s="9"/>
      <c r="BW24" s="9"/>
      <c r="BX24" s="9"/>
      <c r="BY24" s="9"/>
      <c r="BZ24" s="9" t="s">
        <v>292</v>
      </c>
      <c r="CA24" s="114"/>
      <c r="CB24" s="8"/>
      <c r="CC24" s="10"/>
      <c r="CD24" s="8"/>
      <c r="CE24" s="9"/>
      <c r="CF24" s="8"/>
      <c r="CG24" s="9"/>
      <c r="CH24" s="9"/>
      <c r="CI24" s="9"/>
      <c r="CJ24" s="9"/>
      <c r="CK24" s="10"/>
    </row>
    <row r="25" spans="1:92" x14ac:dyDescent="0.2">
      <c r="A25" s="68">
        <v>2192</v>
      </c>
      <c r="B25" t="s">
        <v>141</v>
      </c>
      <c r="C25" t="s">
        <v>121</v>
      </c>
      <c r="D25" t="s">
        <v>338</v>
      </c>
      <c r="E25" s="8">
        <v>75000</v>
      </c>
      <c r="F25" s="10"/>
      <c r="G25" s="9">
        <v>0</v>
      </c>
      <c r="H25" s="9">
        <v>80</v>
      </c>
      <c r="I25" s="9">
        <v>10</v>
      </c>
      <c r="J25" s="9">
        <v>10</v>
      </c>
      <c r="K25" s="9">
        <v>0</v>
      </c>
      <c r="L25" s="9">
        <v>60000</v>
      </c>
      <c r="M25" s="9">
        <v>7500</v>
      </c>
      <c r="N25" s="9">
        <v>7500</v>
      </c>
      <c r="O25" s="10" t="s">
        <v>293</v>
      </c>
      <c r="P25" s="8">
        <v>24.5</v>
      </c>
      <c r="Q25" s="9">
        <v>24.5</v>
      </c>
      <c r="R25" s="9">
        <v>24.5</v>
      </c>
      <c r="S25" s="9"/>
      <c r="T25" s="9"/>
      <c r="U25" s="10" t="s">
        <v>293</v>
      </c>
      <c r="V25" s="35" t="s">
        <v>141</v>
      </c>
      <c r="W25" s="8" t="s">
        <v>141</v>
      </c>
      <c r="X25" s="9"/>
      <c r="Y25" s="114"/>
      <c r="Z25" s="8"/>
      <c r="AA25" s="9"/>
      <c r="AB25" s="9"/>
      <c r="AC25" s="9"/>
      <c r="AD25" s="9"/>
      <c r="AE25" s="9"/>
      <c r="AF25" s="9"/>
      <c r="AG25" s="9"/>
      <c r="AH25" s="9"/>
      <c r="AI25" s="9"/>
      <c r="AJ25" s="9"/>
      <c r="AK25" s="9"/>
      <c r="AL25" s="9" t="s">
        <v>292</v>
      </c>
      <c r="AM25" s="10"/>
      <c r="AN25" s="9"/>
      <c r="AO25" s="114"/>
      <c r="AP25" s="8" t="s">
        <v>151</v>
      </c>
      <c r="AQ25" s="9" t="s">
        <v>147</v>
      </c>
      <c r="AR25" s="9" t="s">
        <v>147</v>
      </c>
      <c r="AS25" s="9" t="s">
        <v>147</v>
      </c>
      <c r="AT25" s="9" t="s">
        <v>147</v>
      </c>
      <c r="AU25" s="9" t="s">
        <v>147</v>
      </c>
      <c r="AV25" s="9" t="s">
        <v>151</v>
      </c>
      <c r="AW25" s="9"/>
      <c r="AX25" s="9" t="s">
        <v>147</v>
      </c>
      <c r="AY25" s="9" t="s">
        <v>147</v>
      </c>
      <c r="AZ25" s="114"/>
      <c r="BA25" s="35" t="s">
        <v>141</v>
      </c>
      <c r="BB25" s="115"/>
      <c r="BC25" s="8">
        <v>50</v>
      </c>
      <c r="BD25" s="9">
        <v>0</v>
      </c>
      <c r="BE25" s="9">
        <v>10</v>
      </c>
      <c r="BF25" s="9">
        <v>40</v>
      </c>
      <c r="BG25" s="9">
        <v>0</v>
      </c>
      <c r="BH25" s="9">
        <v>3750</v>
      </c>
      <c r="BI25" s="9">
        <v>0</v>
      </c>
      <c r="BJ25" s="9">
        <v>750</v>
      </c>
      <c r="BK25" s="9">
        <v>3000</v>
      </c>
      <c r="BL25" s="9">
        <v>0</v>
      </c>
      <c r="BM25" s="9" t="s">
        <v>293</v>
      </c>
      <c r="BN25" s="10"/>
      <c r="BO25" s="137"/>
      <c r="BP25" s="35">
        <v>510</v>
      </c>
      <c r="BQ25" s="8"/>
      <c r="BR25" s="9"/>
      <c r="BS25" s="9"/>
      <c r="BT25" s="9"/>
      <c r="BU25" s="9"/>
      <c r="BV25" s="9"/>
      <c r="BW25" s="9"/>
      <c r="BX25" s="9" t="s">
        <v>220</v>
      </c>
      <c r="BY25" s="9"/>
      <c r="BZ25" s="9" t="s">
        <v>293</v>
      </c>
      <c r="CA25" s="114"/>
      <c r="CB25" s="8" t="s">
        <v>152</v>
      </c>
      <c r="CC25" s="10"/>
      <c r="CD25" s="8"/>
      <c r="CE25" s="9"/>
      <c r="CF25" s="8"/>
      <c r="CG25" s="9"/>
      <c r="CH25" s="9"/>
      <c r="CI25" s="9"/>
      <c r="CJ25" s="9"/>
      <c r="CK25" s="10"/>
      <c r="CL25" t="s">
        <v>221</v>
      </c>
      <c r="CM25" t="s">
        <v>222</v>
      </c>
      <c r="CN25" t="s">
        <v>223</v>
      </c>
    </row>
    <row r="26" spans="1:92" x14ac:dyDescent="0.2">
      <c r="A26" s="68">
        <v>2238</v>
      </c>
      <c r="B26" t="s">
        <v>75</v>
      </c>
      <c r="C26" t="s">
        <v>121</v>
      </c>
      <c r="D26" t="s">
        <v>338</v>
      </c>
      <c r="E26" s="8">
        <v>382878</v>
      </c>
      <c r="F26" s="10"/>
      <c r="G26" s="9">
        <v>15.024088021754903</v>
      </c>
      <c r="H26" s="9">
        <v>69.951823956490202</v>
      </c>
      <c r="I26" s="9">
        <v>15.024088021754903</v>
      </c>
      <c r="J26" s="9">
        <v>0</v>
      </c>
      <c r="K26" s="9">
        <v>57523.927735934732</v>
      </c>
      <c r="L26" s="9">
        <v>267830.14452813054</v>
      </c>
      <c r="M26" s="9">
        <v>57523.927735934732</v>
      </c>
      <c r="N26" s="9">
        <v>0</v>
      </c>
      <c r="O26" s="10" t="s">
        <v>293</v>
      </c>
      <c r="P26" s="8">
        <v>29</v>
      </c>
      <c r="Q26" s="9"/>
      <c r="R26" s="9">
        <v>18</v>
      </c>
      <c r="S26" s="9"/>
      <c r="T26" s="9"/>
      <c r="U26" s="10" t="s">
        <v>293</v>
      </c>
      <c r="V26" s="35" t="s">
        <v>74</v>
      </c>
      <c r="W26" s="8" t="s">
        <v>74</v>
      </c>
      <c r="X26" s="9" t="s">
        <v>224</v>
      </c>
      <c r="Y26" s="114"/>
      <c r="Z26" s="8"/>
      <c r="AA26" s="9"/>
      <c r="AB26" s="9"/>
      <c r="AC26" s="9"/>
      <c r="AD26" s="9"/>
      <c r="AE26" s="9"/>
      <c r="AF26" s="9"/>
      <c r="AG26" s="9"/>
      <c r="AH26" s="9"/>
      <c r="AI26" s="9"/>
      <c r="AJ26" s="9"/>
      <c r="AK26" s="9"/>
      <c r="AL26" s="9" t="s">
        <v>292</v>
      </c>
      <c r="AM26" s="10"/>
      <c r="AN26" s="9"/>
      <c r="AO26" s="114"/>
      <c r="AP26" s="8" t="s">
        <v>147</v>
      </c>
      <c r="AQ26" s="8" t="s">
        <v>147</v>
      </c>
      <c r="AR26" s="8" t="s">
        <v>147</v>
      </c>
      <c r="AS26" s="9"/>
      <c r="AT26" s="9" t="s">
        <v>147</v>
      </c>
      <c r="AU26" s="9"/>
      <c r="AV26" s="9"/>
      <c r="AW26" s="9" t="s">
        <v>147</v>
      </c>
      <c r="AX26" s="9" t="s">
        <v>147</v>
      </c>
      <c r="AY26" s="9" t="s">
        <v>147</v>
      </c>
      <c r="AZ26" s="114"/>
      <c r="BA26" s="35" t="s">
        <v>75</v>
      </c>
      <c r="BB26" s="115"/>
      <c r="BC26" s="8">
        <v>100</v>
      </c>
      <c r="BD26" s="9">
        <v>0</v>
      </c>
      <c r="BE26" s="9">
        <v>0</v>
      </c>
      <c r="BF26" s="9">
        <v>0</v>
      </c>
      <c r="BG26" s="9">
        <v>0</v>
      </c>
      <c r="BH26" s="9">
        <v>57523.927735934732</v>
      </c>
      <c r="BI26" s="9">
        <v>0</v>
      </c>
      <c r="BJ26" s="9">
        <v>0</v>
      </c>
      <c r="BK26" s="9">
        <v>0</v>
      </c>
      <c r="BL26" s="9">
        <v>0</v>
      </c>
      <c r="BM26" s="9" t="s">
        <v>293</v>
      </c>
      <c r="BN26" s="10"/>
      <c r="BO26" s="137"/>
      <c r="BP26" s="35"/>
      <c r="BQ26" s="8">
        <v>45</v>
      </c>
      <c r="BR26" s="9"/>
      <c r="BS26" s="9">
        <v>20</v>
      </c>
      <c r="BT26" s="9"/>
      <c r="BU26" s="9"/>
      <c r="BV26" s="9"/>
      <c r="BW26" s="9"/>
      <c r="BX26" s="9" t="s">
        <v>225</v>
      </c>
      <c r="BY26" s="9"/>
      <c r="BZ26" s="9" t="s">
        <v>293</v>
      </c>
      <c r="CA26" s="114"/>
      <c r="CB26" s="8" t="s">
        <v>74</v>
      </c>
      <c r="CC26" s="10"/>
      <c r="CD26" s="8"/>
      <c r="CE26" s="9"/>
      <c r="CF26" s="8"/>
      <c r="CG26" s="9"/>
      <c r="CH26" s="9"/>
      <c r="CI26" s="9"/>
      <c r="CJ26" s="9"/>
      <c r="CK26" s="10"/>
      <c r="CL26" t="s">
        <v>226</v>
      </c>
    </row>
    <row r="27" spans="1:92" x14ac:dyDescent="0.2">
      <c r="A27" s="68">
        <v>2259</v>
      </c>
      <c r="B27" t="s">
        <v>75</v>
      </c>
      <c r="C27" t="s">
        <v>121</v>
      </c>
      <c r="D27" t="s">
        <v>338</v>
      </c>
      <c r="E27" s="8">
        <v>44315.1</v>
      </c>
      <c r="F27" s="10"/>
      <c r="G27" s="9">
        <v>3.4523898174662815</v>
      </c>
      <c r="H27" s="9">
        <v>52.270512759759093</v>
      </c>
      <c r="I27" s="9">
        <v>15.431015613188281</v>
      </c>
      <c r="J27" s="9">
        <v>28.846081809586348</v>
      </c>
      <c r="K27" s="9">
        <v>1529.93</v>
      </c>
      <c r="L27" s="9">
        <v>23163.73</v>
      </c>
      <c r="M27" s="9">
        <v>6838.27</v>
      </c>
      <c r="N27" s="9">
        <v>12783.17</v>
      </c>
      <c r="O27" s="10" t="s">
        <v>293</v>
      </c>
      <c r="P27" s="8">
        <v>30</v>
      </c>
      <c r="Q27" s="9">
        <v>30</v>
      </c>
      <c r="R27" s="9">
        <v>30</v>
      </c>
      <c r="S27" s="9">
        <v>30</v>
      </c>
      <c r="T27" s="9"/>
      <c r="U27" s="10" t="s">
        <v>293</v>
      </c>
      <c r="V27" s="35" t="s">
        <v>75</v>
      </c>
      <c r="W27" s="8" t="s">
        <v>75</v>
      </c>
      <c r="X27" s="9"/>
      <c r="Y27" s="114"/>
      <c r="Z27" s="8">
        <v>93.343054470909806</v>
      </c>
      <c r="AA27" s="9">
        <v>0</v>
      </c>
      <c r="AB27" s="9">
        <v>0</v>
      </c>
      <c r="AC27" s="9">
        <v>0</v>
      </c>
      <c r="AD27" s="9">
        <v>6.6569455290901995</v>
      </c>
      <c r="AE27" s="9">
        <v>0</v>
      </c>
      <c r="AF27" s="9">
        <v>1428.0833932667904</v>
      </c>
      <c r="AG27" s="9">
        <v>0</v>
      </c>
      <c r="AH27" s="9">
        <v>0</v>
      </c>
      <c r="AI27" s="9">
        <v>0</v>
      </c>
      <c r="AJ27" s="9">
        <v>101.8466067332097</v>
      </c>
      <c r="AK27" s="9">
        <v>0</v>
      </c>
      <c r="AL27" s="9" t="s">
        <v>293</v>
      </c>
      <c r="AM27" s="10" t="s">
        <v>141</v>
      </c>
      <c r="AN27" s="9"/>
      <c r="AO27" s="114"/>
      <c r="AP27" s="8" t="s">
        <v>147</v>
      </c>
      <c r="AQ27" s="8" t="s">
        <v>147</v>
      </c>
      <c r="AR27" s="8" t="s">
        <v>147</v>
      </c>
      <c r="AS27" s="9"/>
      <c r="AT27" s="9"/>
      <c r="AU27" s="9"/>
      <c r="AV27" s="9"/>
      <c r="AW27" s="9"/>
      <c r="AX27" s="9"/>
      <c r="AY27" s="9" t="s">
        <v>147</v>
      </c>
      <c r="AZ27" s="114"/>
      <c r="BA27" s="35" t="s">
        <v>75</v>
      </c>
      <c r="BB27" s="115"/>
      <c r="BC27" s="8">
        <v>98.40442100121814</v>
      </c>
      <c r="BD27" s="9">
        <v>0</v>
      </c>
      <c r="BE27" s="9">
        <v>0</v>
      </c>
      <c r="BF27" s="9">
        <v>1.5955789987818554</v>
      </c>
      <c r="BG27" s="9">
        <v>0</v>
      </c>
      <c r="BH27" s="9">
        <v>6729.16</v>
      </c>
      <c r="BI27" s="9">
        <v>0</v>
      </c>
      <c r="BJ27" s="9">
        <v>0</v>
      </c>
      <c r="BK27" s="9">
        <v>109.10999999999999</v>
      </c>
      <c r="BL27" s="9">
        <v>0</v>
      </c>
      <c r="BM27" s="9" t="s">
        <v>293</v>
      </c>
      <c r="BN27" s="10"/>
      <c r="BO27" s="137"/>
      <c r="BP27" s="35">
        <v>0</v>
      </c>
      <c r="BQ27" s="8"/>
      <c r="BR27" s="9"/>
      <c r="BS27" s="9">
        <v>14.13</v>
      </c>
      <c r="BT27" s="9">
        <v>2466.37</v>
      </c>
      <c r="BU27" s="9"/>
      <c r="BV27" s="9"/>
      <c r="BW27" s="9"/>
      <c r="BX27" s="9"/>
      <c r="BY27" s="9"/>
      <c r="BZ27" s="9" t="s">
        <v>293</v>
      </c>
      <c r="CA27" s="114"/>
      <c r="CB27" s="8" t="s">
        <v>304</v>
      </c>
      <c r="CC27" s="10" t="s">
        <v>122</v>
      </c>
      <c r="CD27" s="8" t="s">
        <v>75</v>
      </c>
      <c r="CE27" s="9">
        <v>1</v>
      </c>
      <c r="CF27" s="8"/>
      <c r="CG27" s="9"/>
      <c r="CH27" s="9"/>
      <c r="CI27" s="9"/>
      <c r="CJ27" s="9"/>
      <c r="CK27" s="10"/>
      <c r="CM27" t="s">
        <v>123</v>
      </c>
      <c r="CN27" t="s">
        <v>124</v>
      </c>
    </row>
    <row r="28" spans="1:92" x14ac:dyDescent="0.2">
      <c r="A28" s="68">
        <v>2261</v>
      </c>
      <c r="B28" t="s">
        <v>141</v>
      </c>
      <c r="C28" t="s">
        <v>121</v>
      </c>
      <c r="D28" t="s">
        <v>338</v>
      </c>
      <c r="E28" s="8">
        <v>23906</v>
      </c>
      <c r="F28" s="10"/>
      <c r="G28" s="9">
        <v>100</v>
      </c>
      <c r="H28" s="9">
        <v>0</v>
      </c>
      <c r="I28" s="9">
        <v>0</v>
      </c>
      <c r="J28" s="9">
        <v>0</v>
      </c>
      <c r="K28" s="9">
        <v>23906</v>
      </c>
      <c r="L28" s="9">
        <v>0</v>
      </c>
      <c r="M28" s="9">
        <v>0</v>
      </c>
      <c r="N28" s="9">
        <v>0</v>
      </c>
      <c r="O28" s="10" t="s">
        <v>293</v>
      </c>
      <c r="P28" s="8">
        <v>43</v>
      </c>
      <c r="Q28" s="9">
        <v>43</v>
      </c>
      <c r="R28" s="9">
        <v>43</v>
      </c>
      <c r="S28" s="9">
        <v>43</v>
      </c>
      <c r="T28" s="9"/>
      <c r="U28" s="10" t="s">
        <v>293</v>
      </c>
      <c r="V28" s="35" t="s">
        <v>141</v>
      </c>
      <c r="W28" s="8" t="s">
        <v>141</v>
      </c>
      <c r="X28" s="9"/>
      <c r="Y28" s="114"/>
      <c r="Z28" s="8">
        <v>80.582867027943024</v>
      </c>
      <c r="AA28" s="9">
        <v>19.417132972056979</v>
      </c>
      <c r="AB28" s="9">
        <v>0</v>
      </c>
      <c r="AC28" s="9">
        <v>0</v>
      </c>
      <c r="AD28" s="9">
        <v>0</v>
      </c>
      <c r="AE28" s="9">
        <v>0</v>
      </c>
      <c r="AF28" s="9">
        <v>19264.140191700062</v>
      </c>
      <c r="AG28" s="9">
        <v>4641.8598082999415</v>
      </c>
      <c r="AH28" s="9">
        <v>0</v>
      </c>
      <c r="AI28" s="9">
        <v>0</v>
      </c>
      <c r="AJ28" s="9">
        <v>0</v>
      </c>
      <c r="AK28" s="9">
        <v>0</v>
      </c>
      <c r="AL28" s="9" t="s">
        <v>293</v>
      </c>
      <c r="AM28" s="10" t="s">
        <v>141</v>
      </c>
      <c r="AN28" s="9"/>
      <c r="AO28" s="114"/>
      <c r="AP28" s="8" t="s">
        <v>147</v>
      </c>
      <c r="AQ28" s="8" t="s">
        <v>147</v>
      </c>
      <c r="AR28" s="8" t="s">
        <v>147</v>
      </c>
      <c r="AS28" s="9"/>
      <c r="AT28" s="9" t="s">
        <v>147</v>
      </c>
      <c r="AU28" s="9"/>
      <c r="AV28" s="9"/>
      <c r="AW28" s="9"/>
      <c r="AX28" s="9" t="s">
        <v>147</v>
      </c>
      <c r="AY28" s="9"/>
      <c r="AZ28" s="114"/>
      <c r="BA28" s="35" t="s">
        <v>152</v>
      </c>
      <c r="BB28" s="115"/>
      <c r="BC28" s="8">
        <v>0</v>
      </c>
      <c r="BD28" s="9">
        <v>0</v>
      </c>
      <c r="BE28" s="9">
        <v>5</v>
      </c>
      <c r="BF28" s="9">
        <v>0</v>
      </c>
      <c r="BG28" s="9">
        <v>0</v>
      </c>
      <c r="BH28" s="9"/>
      <c r="BI28" s="9"/>
      <c r="BJ28" s="9"/>
      <c r="BK28" s="9"/>
      <c r="BL28" s="9"/>
      <c r="BM28" s="9" t="s">
        <v>292</v>
      </c>
      <c r="BN28" s="10"/>
      <c r="BO28" s="137"/>
      <c r="BP28" s="35">
        <v>0</v>
      </c>
      <c r="BQ28" s="8"/>
      <c r="BR28" s="9"/>
      <c r="BS28" s="9"/>
      <c r="BT28" s="9"/>
      <c r="BU28" s="9"/>
      <c r="BV28" s="9"/>
      <c r="BW28" s="9"/>
      <c r="BX28" s="9"/>
      <c r="BY28" s="9"/>
      <c r="BZ28" s="9" t="s">
        <v>292</v>
      </c>
      <c r="CA28" s="114"/>
      <c r="CB28" s="8"/>
      <c r="CC28" s="10"/>
      <c r="CD28" s="8"/>
      <c r="CE28" s="9"/>
      <c r="CF28" s="8"/>
      <c r="CG28" s="9"/>
      <c r="CH28" s="9"/>
      <c r="CI28" s="9"/>
      <c r="CJ28" s="9"/>
      <c r="CK28" s="10"/>
    </row>
    <row r="29" spans="1:92" x14ac:dyDescent="0.2">
      <c r="A29" s="68">
        <v>2328</v>
      </c>
      <c r="B29" t="s">
        <v>141</v>
      </c>
      <c r="C29" t="s">
        <v>120</v>
      </c>
      <c r="D29" t="s">
        <v>338</v>
      </c>
      <c r="E29" s="8">
        <v>6931.9</v>
      </c>
      <c r="F29" s="10"/>
      <c r="G29" s="9">
        <v>5.436988923041234</v>
      </c>
      <c r="H29" s="9">
        <v>94.563011076958773</v>
      </c>
      <c r="I29" s="9">
        <v>0</v>
      </c>
      <c r="J29" s="9">
        <v>0</v>
      </c>
      <c r="K29" s="9">
        <v>376.88663515629531</v>
      </c>
      <c r="L29" s="9">
        <v>6555.0133648437049</v>
      </c>
      <c r="M29" s="9">
        <v>0</v>
      </c>
      <c r="N29" s="9">
        <v>0</v>
      </c>
      <c r="O29" s="10" t="s">
        <v>293</v>
      </c>
      <c r="P29" s="8">
        <v>20</v>
      </c>
      <c r="Q29" s="9">
        <v>20</v>
      </c>
      <c r="R29" s="9">
        <v>20</v>
      </c>
      <c r="S29" s="9">
        <v>20</v>
      </c>
      <c r="T29" s="9"/>
      <c r="U29" s="10" t="s">
        <v>293</v>
      </c>
      <c r="V29" s="35" t="s">
        <v>141</v>
      </c>
      <c r="W29" s="8" t="s">
        <v>141</v>
      </c>
      <c r="X29" s="9"/>
      <c r="Y29" s="114"/>
      <c r="Z29" s="8">
        <v>76.430277882560048</v>
      </c>
      <c r="AA29" s="9">
        <v>23.569722117439959</v>
      </c>
      <c r="AB29" s="9">
        <v>0</v>
      </c>
      <c r="AC29" s="9">
        <v>0</v>
      </c>
      <c r="AD29" s="9">
        <v>0</v>
      </c>
      <c r="AE29" s="9">
        <v>0</v>
      </c>
      <c r="AF29" s="9">
        <v>288.05550255218679</v>
      </c>
      <c r="AG29" s="9">
        <v>88.831132604108575</v>
      </c>
      <c r="AH29" s="9">
        <v>0</v>
      </c>
      <c r="AI29" s="9">
        <v>0</v>
      </c>
      <c r="AJ29" s="9">
        <v>0</v>
      </c>
      <c r="AK29" s="9">
        <v>0</v>
      </c>
      <c r="AL29" s="9" t="s">
        <v>293</v>
      </c>
      <c r="AM29" s="10" t="s">
        <v>141</v>
      </c>
      <c r="AN29" s="9"/>
      <c r="AO29" s="114"/>
      <c r="AP29" s="8" t="s">
        <v>147</v>
      </c>
      <c r="AQ29" s="9" t="s">
        <v>147</v>
      </c>
      <c r="AR29" s="9" t="s">
        <v>147</v>
      </c>
      <c r="AS29" s="9" t="s">
        <v>147</v>
      </c>
      <c r="AT29" s="9" t="s">
        <v>147</v>
      </c>
      <c r="AU29" s="9" t="s">
        <v>147</v>
      </c>
      <c r="AV29" s="9" t="s">
        <v>147</v>
      </c>
      <c r="AW29" s="9" t="s">
        <v>147</v>
      </c>
      <c r="AX29" s="9" t="s">
        <v>147</v>
      </c>
      <c r="AY29" s="9" t="s">
        <v>147</v>
      </c>
      <c r="AZ29" s="114"/>
      <c r="BA29" s="35"/>
      <c r="BB29" s="115"/>
      <c r="BC29" s="8"/>
      <c r="BD29" s="9"/>
      <c r="BE29" s="9"/>
      <c r="BF29" s="9"/>
      <c r="BG29" s="9"/>
      <c r="BH29" s="9"/>
      <c r="BI29" s="9"/>
      <c r="BJ29" s="9"/>
      <c r="BK29" s="9"/>
      <c r="BL29" s="9"/>
      <c r="BM29" s="9" t="s">
        <v>292</v>
      </c>
      <c r="BN29" s="10"/>
      <c r="BO29" s="137"/>
      <c r="BP29" s="35"/>
      <c r="BQ29" s="8"/>
      <c r="BR29" s="9"/>
      <c r="BS29" s="9"/>
      <c r="BT29" s="9"/>
      <c r="BU29" s="9"/>
      <c r="BV29" s="9"/>
      <c r="BW29" s="9"/>
      <c r="BX29" s="9"/>
      <c r="BY29" s="9"/>
      <c r="BZ29" s="9" t="s">
        <v>227</v>
      </c>
      <c r="CA29" s="114"/>
      <c r="CB29" s="8"/>
      <c r="CC29" s="10"/>
      <c r="CD29" s="8" t="s">
        <v>75</v>
      </c>
      <c r="CE29" s="9">
        <v>0</v>
      </c>
      <c r="CF29" s="8"/>
      <c r="CG29" s="9"/>
      <c r="CH29" s="9"/>
      <c r="CI29" s="9"/>
      <c r="CJ29" s="9"/>
      <c r="CK29" s="10"/>
    </row>
    <row r="30" spans="1:92" x14ac:dyDescent="0.2">
      <c r="A30" s="68">
        <v>2336</v>
      </c>
      <c r="B30" t="s">
        <v>75</v>
      </c>
      <c r="C30" t="s">
        <v>121</v>
      </c>
      <c r="D30" t="s">
        <v>338</v>
      </c>
      <c r="E30" s="8">
        <v>1422</v>
      </c>
      <c r="F30" s="10"/>
      <c r="G30" s="9"/>
      <c r="H30" s="9"/>
      <c r="I30" s="9"/>
      <c r="J30" s="9"/>
      <c r="K30" s="9"/>
      <c r="L30" s="9"/>
      <c r="M30" s="9"/>
      <c r="N30" s="9"/>
      <c r="O30" s="10" t="s">
        <v>292</v>
      </c>
      <c r="P30" s="8">
        <v>40</v>
      </c>
      <c r="Q30" s="9"/>
      <c r="R30" s="9"/>
      <c r="S30" s="9">
        <v>0</v>
      </c>
      <c r="T30" s="9"/>
      <c r="U30" s="10" t="s">
        <v>293</v>
      </c>
      <c r="V30" s="35" t="s">
        <v>75</v>
      </c>
      <c r="W30" s="8" t="s">
        <v>75</v>
      </c>
      <c r="X30" s="8" t="s">
        <v>228</v>
      </c>
      <c r="Y30" s="115"/>
      <c r="Z30" s="8"/>
      <c r="AA30" s="9"/>
      <c r="AB30" s="9"/>
      <c r="AC30" s="9"/>
      <c r="AD30" s="9"/>
      <c r="AE30" s="9"/>
      <c r="AF30" s="9"/>
      <c r="AG30" s="9"/>
      <c r="AH30" s="9"/>
      <c r="AI30" s="9"/>
      <c r="AJ30" s="9"/>
      <c r="AK30" s="9"/>
      <c r="AL30" s="9" t="s">
        <v>292</v>
      </c>
      <c r="AM30" s="10"/>
      <c r="AN30" s="9"/>
      <c r="AO30" s="114"/>
      <c r="AP30" s="8" t="s">
        <v>147</v>
      </c>
      <c r="AQ30" s="9" t="s">
        <v>147</v>
      </c>
      <c r="AR30" s="9" t="s">
        <v>147</v>
      </c>
      <c r="AS30" s="9"/>
      <c r="AT30" s="9" t="s">
        <v>147</v>
      </c>
      <c r="AU30" s="9" t="s">
        <v>147</v>
      </c>
      <c r="AV30" s="9"/>
      <c r="AW30" s="9"/>
      <c r="AX30" s="9"/>
      <c r="AY30" s="9" t="s">
        <v>147</v>
      </c>
      <c r="AZ30" s="114"/>
      <c r="BA30" s="35" t="s">
        <v>152</v>
      </c>
      <c r="BB30" s="115"/>
      <c r="BC30" s="8"/>
      <c r="BD30" s="9"/>
      <c r="BE30" s="9"/>
      <c r="BF30" s="9"/>
      <c r="BG30" s="9"/>
      <c r="BH30" s="9"/>
      <c r="BI30" s="9"/>
      <c r="BJ30" s="9"/>
      <c r="BK30" s="9"/>
      <c r="BL30" s="9"/>
      <c r="BM30" s="9" t="s">
        <v>292</v>
      </c>
      <c r="BN30" s="10"/>
      <c r="BO30" s="137"/>
      <c r="BP30" s="35"/>
      <c r="BQ30" s="8"/>
      <c r="BR30" s="9"/>
      <c r="BS30" s="9"/>
      <c r="BT30" s="9"/>
      <c r="BU30" s="9"/>
      <c r="BV30" s="9"/>
      <c r="BW30" s="9"/>
      <c r="BX30" s="9"/>
      <c r="BY30" s="9"/>
      <c r="BZ30" s="9" t="s">
        <v>292</v>
      </c>
      <c r="CA30" s="114"/>
      <c r="CB30" s="8"/>
      <c r="CC30" s="10"/>
      <c r="CD30" s="8"/>
      <c r="CE30" s="9"/>
      <c r="CF30" s="8"/>
      <c r="CG30" s="9"/>
      <c r="CH30" s="9"/>
      <c r="CI30" s="9"/>
      <c r="CJ30" s="9"/>
      <c r="CK30" s="10"/>
      <c r="CL30" t="s">
        <v>229</v>
      </c>
    </row>
    <row r="31" spans="1:92" x14ac:dyDescent="0.2">
      <c r="A31" s="79">
        <v>3000</v>
      </c>
      <c r="B31" t="s">
        <v>75</v>
      </c>
      <c r="C31" t="s">
        <v>131</v>
      </c>
      <c r="D31" t="s">
        <v>338</v>
      </c>
      <c r="E31" s="8">
        <v>217000</v>
      </c>
      <c r="F31" s="10"/>
      <c r="G31" s="9">
        <v>1</v>
      </c>
      <c r="H31" s="9">
        <v>97</v>
      </c>
      <c r="I31" s="9">
        <v>1</v>
      </c>
      <c r="J31" s="9">
        <v>1</v>
      </c>
      <c r="K31" s="9">
        <v>2170</v>
      </c>
      <c r="L31" s="9">
        <v>210490</v>
      </c>
      <c r="M31" s="9">
        <v>2170</v>
      </c>
      <c r="N31" s="9">
        <v>2170</v>
      </c>
      <c r="O31" s="10" t="s">
        <v>293</v>
      </c>
      <c r="P31" s="8">
        <v>32</v>
      </c>
      <c r="Q31" s="9">
        <v>32</v>
      </c>
      <c r="R31" s="9">
        <v>20</v>
      </c>
      <c r="S31" s="9">
        <v>20</v>
      </c>
      <c r="T31" s="9"/>
      <c r="U31" s="10" t="s">
        <v>293</v>
      </c>
      <c r="V31" s="35" t="s">
        <v>75</v>
      </c>
      <c r="W31" s="8" t="s">
        <v>75</v>
      </c>
      <c r="X31" s="9"/>
      <c r="Y31" s="114"/>
      <c r="Z31" s="8"/>
      <c r="AA31" s="9"/>
      <c r="AB31" s="9"/>
      <c r="AC31" s="9"/>
      <c r="AD31" s="9"/>
      <c r="AE31" s="9"/>
      <c r="AF31" s="9"/>
      <c r="AG31" s="9"/>
      <c r="AH31" s="9"/>
      <c r="AI31" s="9"/>
      <c r="AJ31" s="9"/>
      <c r="AK31" s="9"/>
      <c r="AL31" s="9" t="s">
        <v>292</v>
      </c>
      <c r="AM31" s="10"/>
      <c r="AN31" s="9"/>
      <c r="AO31" s="114"/>
      <c r="AP31" s="8" t="s">
        <v>147</v>
      </c>
      <c r="AQ31" s="8" t="s">
        <v>147</v>
      </c>
      <c r="AR31" s="8" t="s">
        <v>147</v>
      </c>
      <c r="AS31" s="9"/>
      <c r="AT31" s="9" t="s">
        <v>147</v>
      </c>
      <c r="AU31" s="9" t="s">
        <v>147</v>
      </c>
      <c r="AV31" s="9"/>
      <c r="AW31" s="9"/>
      <c r="AX31" s="9" t="s">
        <v>147</v>
      </c>
      <c r="AY31" s="9" t="s">
        <v>147</v>
      </c>
      <c r="AZ31" s="114"/>
      <c r="BA31" s="35" t="s">
        <v>75</v>
      </c>
      <c r="BB31" s="115"/>
      <c r="BC31" s="8">
        <v>75</v>
      </c>
      <c r="BD31" s="9">
        <v>0</v>
      </c>
      <c r="BE31" s="9">
        <v>0</v>
      </c>
      <c r="BF31" s="9">
        <v>25</v>
      </c>
      <c r="BG31" s="9">
        <v>0</v>
      </c>
      <c r="BH31" s="9">
        <v>1627.5</v>
      </c>
      <c r="BI31" s="9">
        <v>0</v>
      </c>
      <c r="BJ31" s="9">
        <v>0</v>
      </c>
      <c r="BK31" s="9">
        <v>542.5</v>
      </c>
      <c r="BL31" s="9">
        <v>0</v>
      </c>
      <c r="BM31" s="9" t="s">
        <v>293</v>
      </c>
      <c r="BN31" s="10"/>
      <c r="BO31" s="137"/>
      <c r="BP31" s="35">
        <v>0.95</v>
      </c>
      <c r="BQ31" s="8">
        <v>7.5</v>
      </c>
      <c r="BR31" s="9"/>
      <c r="BS31" s="9">
        <v>7.5</v>
      </c>
      <c r="BT31" s="9">
        <v>0</v>
      </c>
      <c r="BU31" s="9">
        <v>7.5</v>
      </c>
      <c r="BV31" s="9">
        <v>0</v>
      </c>
      <c r="BW31" s="9"/>
      <c r="BX31" s="9"/>
      <c r="BY31" s="9"/>
      <c r="BZ31" s="9"/>
      <c r="CA31" s="114"/>
      <c r="CB31" s="8" t="s">
        <v>74</v>
      </c>
      <c r="CC31" s="10"/>
      <c r="CD31" s="8"/>
      <c r="CE31" s="9"/>
      <c r="CF31" s="8"/>
      <c r="CG31" s="9"/>
      <c r="CH31" s="9"/>
      <c r="CI31" s="9"/>
      <c r="CJ31" s="9"/>
      <c r="CK31" s="10"/>
      <c r="CN31" t="s">
        <v>132</v>
      </c>
    </row>
    <row r="32" spans="1:92" x14ac:dyDescent="0.2">
      <c r="E32" s="9"/>
    </row>
    <row r="33" spans="5:5" x14ac:dyDescent="0.2">
      <c r="E33" s="9"/>
    </row>
    <row r="34" spans="5:5" x14ac:dyDescent="0.2">
      <c r="E34" s="9"/>
    </row>
    <row r="35" spans="5:5" x14ac:dyDescent="0.2">
      <c r="E35" s="9"/>
    </row>
    <row r="36" spans="5:5" x14ac:dyDescent="0.2">
      <c r="E36" s="9"/>
    </row>
    <row r="37" spans="5:5" x14ac:dyDescent="0.2">
      <c r="E37" s="9"/>
    </row>
    <row r="38" spans="5:5" x14ac:dyDescent="0.2">
      <c r="E38" s="9"/>
    </row>
    <row r="39" spans="5:5" x14ac:dyDescent="0.2">
      <c r="E39" s="9"/>
    </row>
    <row r="40" spans="5:5" x14ac:dyDescent="0.2">
      <c r="E40" s="9"/>
    </row>
    <row r="41" spans="5:5" x14ac:dyDescent="0.2">
      <c r="E41" s="9"/>
    </row>
    <row r="42" spans="5:5" x14ac:dyDescent="0.2">
      <c r="E42" s="9"/>
    </row>
    <row r="43" spans="5:5" x14ac:dyDescent="0.2">
      <c r="E43" s="9"/>
    </row>
    <row r="44" spans="5:5" x14ac:dyDescent="0.2">
      <c r="E44" s="9"/>
    </row>
    <row r="45" spans="5:5" x14ac:dyDescent="0.2">
      <c r="E45" s="9"/>
    </row>
    <row r="46" spans="5:5" x14ac:dyDescent="0.2">
      <c r="E46" s="9"/>
    </row>
    <row r="47" spans="5:5" x14ac:dyDescent="0.2">
      <c r="E47" s="9"/>
    </row>
    <row r="48" spans="5:5" x14ac:dyDescent="0.2">
      <c r="E48" s="9"/>
    </row>
    <row r="49" spans="5:8" x14ac:dyDescent="0.2">
      <c r="E49" s="9"/>
    </row>
    <row r="50" spans="5:8" x14ac:dyDescent="0.2">
      <c r="E50" s="9"/>
    </row>
    <row r="51" spans="5:8" x14ac:dyDescent="0.2">
      <c r="E51" s="9"/>
    </row>
    <row r="52" spans="5:8" x14ac:dyDescent="0.2">
      <c r="E52" s="9"/>
    </row>
    <row r="53" spans="5:8" x14ac:dyDescent="0.2">
      <c r="E53" s="9"/>
      <c r="H53" s="9"/>
    </row>
    <row r="54" spans="5:8" x14ac:dyDescent="0.2">
      <c r="E54" s="9"/>
      <c r="H54" s="9"/>
    </row>
    <row r="55" spans="5:8" x14ac:dyDescent="0.2">
      <c r="E55" s="9"/>
      <c r="H55" s="9"/>
    </row>
    <row r="56" spans="5:8" x14ac:dyDescent="0.2">
      <c r="E56" s="9"/>
      <c r="H56" s="9"/>
    </row>
    <row r="57" spans="5:8" x14ac:dyDescent="0.2">
      <c r="E57" s="9"/>
      <c r="H57" s="9"/>
    </row>
    <row r="58" spans="5:8" x14ac:dyDescent="0.2">
      <c r="E58" s="9"/>
      <c r="H58" s="9"/>
    </row>
    <row r="59" spans="5:8" x14ac:dyDescent="0.2">
      <c r="E59" s="9"/>
      <c r="H59" s="9"/>
    </row>
    <row r="60" spans="5:8" x14ac:dyDescent="0.2">
      <c r="E60" s="9"/>
      <c r="H60" s="9"/>
    </row>
    <row r="61" spans="5:8" x14ac:dyDescent="0.2">
      <c r="H61" s="9"/>
    </row>
    <row r="62" spans="5:8" x14ac:dyDescent="0.2">
      <c r="E62" s="9"/>
      <c r="H62" s="9"/>
    </row>
    <row r="63" spans="5:8" x14ac:dyDescent="0.2">
      <c r="E63" s="9"/>
      <c r="H63" s="9"/>
    </row>
    <row r="64" spans="5:8" x14ac:dyDescent="0.2">
      <c r="E64" s="9"/>
      <c r="H64" s="9"/>
    </row>
    <row r="65" spans="5:8" x14ac:dyDescent="0.2">
      <c r="E65" s="9"/>
      <c r="H65" s="9"/>
    </row>
    <row r="66" spans="5:8" x14ac:dyDescent="0.2">
      <c r="E66" s="9"/>
      <c r="H66" s="9"/>
    </row>
    <row r="67" spans="5:8" x14ac:dyDescent="0.2">
      <c r="E67" s="9"/>
      <c r="H67" s="9"/>
    </row>
    <row r="68" spans="5:8" x14ac:dyDescent="0.2">
      <c r="H68" s="9"/>
    </row>
    <row r="69" spans="5:8" x14ac:dyDescent="0.2">
      <c r="H69" s="9"/>
    </row>
    <row r="70" spans="5:8" x14ac:dyDescent="0.2">
      <c r="H70" s="9"/>
    </row>
    <row r="71" spans="5:8" x14ac:dyDescent="0.2">
      <c r="H71" s="9"/>
    </row>
    <row r="72" spans="5:8" x14ac:dyDescent="0.2">
      <c r="H72" s="9"/>
    </row>
  </sheetData>
  <pageMargins left="0.7" right="0.7" top="0.75" bottom="0.75" header="0.3" footer="0.3"/>
  <legacy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V31"/>
  <sheetViews>
    <sheetView workbookViewId="0">
      <pane ySplit="1" topLeftCell="A2" activePane="bottomLeft" state="frozen"/>
      <selection pane="bottomLeft" activeCell="C41" sqref="C41"/>
    </sheetView>
  </sheetViews>
  <sheetFormatPr baseColWidth="10" defaultColWidth="8.83203125" defaultRowHeight="15" x14ac:dyDescent="0.2"/>
  <cols>
    <col min="60" max="61" width="8.83203125" style="59"/>
  </cols>
  <sheetData>
    <row r="1" spans="1:74" ht="16" thickBot="1" x14ac:dyDescent="0.25">
      <c r="A1" t="s">
        <v>0</v>
      </c>
      <c r="B1" t="s">
        <v>1</v>
      </c>
      <c r="C1" t="s">
        <v>2</v>
      </c>
      <c r="D1" t="s">
        <v>3</v>
      </c>
      <c r="E1" s="2" t="s">
        <v>4</v>
      </c>
      <c r="F1" s="3" t="s">
        <v>5</v>
      </c>
      <c r="G1" s="3" t="s">
        <v>6</v>
      </c>
      <c r="H1" s="3" t="s">
        <v>7</v>
      </c>
      <c r="I1" s="3" t="s">
        <v>8</v>
      </c>
      <c r="J1" s="3" t="s">
        <v>9</v>
      </c>
      <c r="K1" s="3" t="s">
        <v>10</v>
      </c>
      <c r="L1" s="4" t="s">
        <v>11</v>
      </c>
      <c r="M1" t="s">
        <v>12</v>
      </c>
      <c r="N1" t="s">
        <v>13</v>
      </c>
      <c r="O1" t="s">
        <v>14</v>
      </c>
      <c r="P1" t="s">
        <v>15</v>
      </c>
      <c r="Q1" t="s">
        <v>16</v>
      </c>
      <c r="R1" t="s">
        <v>17</v>
      </c>
      <c r="S1" t="s">
        <v>18</v>
      </c>
      <c r="T1" s="2" t="s">
        <v>19</v>
      </c>
      <c r="U1" s="3" t="s">
        <v>20</v>
      </c>
      <c r="V1" s="3" t="s">
        <v>21</v>
      </c>
      <c r="W1" s="3" t="s">
        <v>22</v>
      </c>
      <c r="X1" s="3" t="s">
        <v>23</v>
      </c>
      <c r="Y1" s="4" t="s">
        <v>24</v>
      </c>
      <c r="Z1" s="3" t="s">
        <v>25</v>
      </c>
      <c r="AA1" s="3" t="s">
        <v>26</v>
      </c>
      <c r="AB1" s="3" t="s">
        <v>27</v>
      </c>
      <c r="AC1" s="3" t="s">
        <v>28</v>
      </c>
      <c r="AD1" s="3" t="s">
        <v>29</v>
      </c>
      <c r="AE1" s="4" t="s">
        <v>30</v>
      </c>
      <c r="AF1" s="2" t="s">
        <v>31</v>
      </c>
      <c r="AG1" s="3" t="s">
        <v>32</v>
      </c>
      <c r="AH1" s="3" t="s">
        <v>33</v>
      </c>
      <c r="AI1" s="3" t="s">
        <v>34</v>
      </c>
      <c r="AJ1" s="3" t="s">
        <v>35</v>
      </c>
      <c r="AK1" s="3" t="s">
        <v>36</v>
      </c>
      <c r="AL1" s="3" t="s">
        <v>37</v>
      </c>
      <c r="AM1" s="3" t="s">
        <v>38</v>
      </c>
      <c r="AN1" s="3" t="s">
        <v>39</v>
      </c>
      <c r="AO1" s="4" t="s">
        <v>40</v>
      </c>
      <c r="AP1" s="38" t="s">
        <v>41</v>
      </c>
      <c r="AQ1" s="2" t="s">
        <v>42</v>
      </c>
      <c r="AR1" s="3" t="s">
        <v>43</v>
      </c>
      <c r="AS1" s="3" t="s">
        <v>44</v>
      </c>
      <c r="AT1" s="3" t="s">
        <v>45</v>
      </c>
      <c r="AU1" s="3" t="s">
        <v>46</v>
      </c>
      <c r="AV1" s="3" t="s">
        <v>47</v>
      </c>
      <c r="AW1" s="3" t="s">
        <v>48</v>
      </c>
      <c r="AX1" s="3" t="s">
        <v>49</v>
      </c>
      <c r="AY1" s="3" t="s">
        <v>50</v>
      </c>
      <c r="AZ1" s="4" t="s">
        <v>51</v>
      </c>
      <c r="BA1" t="s">
        <v>52</v>
      </c>
      <c r="BB1" s="56" t="s">
        <v>53</v>
      </c>
      <c r="BC1" s="57" t="s">
        <v>54</v>
      </c>
      <c r="BD1" s="57" t="s">
        <v>55</v>
      </c>
      <c r="BE1" s="57" t="s">
        <v>56</v>
      </c>
      <c r="BF1" s="57" t="s">
        <v>57</v>
      </c>
      <c r="BG1" s="58" t="s">
        <v>58</v>
      </c>
      <c r="BH1" s="59" t="s">
        <v>59</v>
      </c>
      <c r="BI1" s="59" t="s">
        <v>60</v>
      </c>
      <c r="BJ1" s="38" t="s">
        <v>61</v>
      </c>
      <c r="BK1" t="s">
        <v>62</v>
      </c>
      <c r="BL1" t="s">
        <v>63</v>
      </c>
      <c r="BM1" t="s">
        <v>64</v>
      </c>
      <c r="BN1" t="s">
        <v>65</v>
      </c>
      <c r="BO1" t="s">
        <v>66</v>
      </c>
      <c r="BP1" t="s">
        <v>67</v>
      </c>
      <c r="BQ1" t="s">
        <v>68</v>
      </c>
      <c r="BR1" t="s">
        <v>69</v>
      </c>
      <c r="BS1" t="s">
        <v>70</v>
      </c>
      <c r="BT1" t="s">
        <v>71</v>
      </c>
      <c r="BU1" t="s">
        <v>72</v>
      </c>
      <c r="BV1" t="s">
        <v>73</v>
      </c>
    </row>
    <row r="2" spans="1:74" x14ac:dyDescent="0.2">
      <c r="A2">
        <v>9</v>
      </c>
      <c r="B2" t="s">
        <v>75</v>
      </c>
      <c r="C2" t="s">
        <v>120</v>
      </c>
      <c r="D2">
        <f>(500*365)</f>
        <v>182500</v>
      </c>
      <c r="E2" s="5">
        <v>0</v>
      </c>
      <c r="F2" s="6">
        <v>0</v>
      </c>
      <c r="G2" s="6">
        <v>0</v>
      </c>
      <c r="H2" s="6">
        <v>0</v>
      </c>
      <c r="I2" s="6">
        <v>0</v>
      </c>
      <c r="J2" s="6">
        <v>0</v>
      </c>
      <c r="K2" s="6">
        <v>0</v>
      </c>
      <c r="L2" s="6">
        <v>0</v>
      </c>
      <c r="M2" s="20"/>
      <c r="N2" s="21"/>
      <c r="O2" s="21"/>
      <c r="P2" s="21"/>
      <c r="Q2" s="34"/>
      <c r="R2" s="34"/>
      <c r="S2" s="18"/>
      <c r="T2" s="29"/>
      <c r="U2" s="30"/>
      <c r="V2" s="30"/>
      <c r="W2" s="30"/>
      <c r="X2" s="30"/>
      <c r="Y2" s="31"/>
      <c r="Z2" s="24"/>
      <c r="AA2" s="24"/>
      <c r="AB2" s="24"/>
      <c r="AC2" s="24"/>
      <c r="AD2" s="24"/>
      <c r="AE2" s="24"/>
      <c r="AF2" s="20"/>
      <c r="AG2" s="21"/>
      <c r="AH2" s="21"/>
      <c r="AI2" s="21"/>
      <c r="AJ2" s="21"/>
      <c r="AK2" s="21"/>
      <c r="AL2" s="21"/>
      <c r="AM2" s="21"/>
      <c r="AN2" s="21"/>
      <c r="AO2" s="22"/>
      <c r="AP2" s="30"/>
      <c r="AQ2" s="20"/>
      <c r="AR2" s="21"/>
      <c r="AS2" s="21"/>
      <c r="AT2" s="21"/>
      <c r="AU2" s="21"/>
      <c r="AV2" s="52"/>
      <c r="AW2" s="52"/>
      <c r="AX2" s="52"/>
      <c r="AY2" s="52"/>
      <c r="AZ2" s="53"/>
      <c r="BA2" s="20"/>
      <c r="BB2" s="29"/>
      <c r="BC2" s="30"/>
      <c r="BD2" s="30"/>
      <c r="BE2" s="30"/>
      <c r="BF2" s="30"/>
      <c r="BG2" s="31"/>
      <c r="BJ2" s="39"/>
      <c r="BK2" s="18"/>
      <c r="BL2" s="18"/>
      <c r="BM2" s="18"/>
      <c r="BN2" s="18"/>
      <c r="BO2" s="18"/>
      <c r="BP2" s="18"/>
      <c r="BQ2" s="18"/>
      <c r="BR2" s="18"/>
      <c r="BS2" s="18"/>
      <c r="BT2" s="18"/>
      <c r="BU2" s="18"/>
    </row>
    <row r="3" spans="1:74" x14ac:dyDescent="0.2">
      <c r="A3">
        <v>9</v>
      </c>
      <c r="B3" t="s">
        <v>75</v>
      </c>
      <c r="C3" t="s">
        <v>102</v>
      </c>
      <c r="D3">
        <v>35000</v>
      </c>
      <c r="E3" s="5">
        <v>0</v>
      </c>
      <c r="F3" s="6">
        <v>0</v>
      </c>
      <c r="G3" s="6">
        <v>0</v>
      </c>
      <c r="H3" s="6">
        <v>0</v>
      </c>
      <c r="I3" s="6">
        <v>0</v>
      </c>
      <c r="J3" s="6">
        <v>0</v>
      </c>
      <c r="K3" s="6">
        <v>0</v>
      </c>
      <c r="L3" s="6">
        <v>0</v>
      </c>
      <c r="M3" s="8" t="s">
        <v>139</v>
      </c>
      <c r="N3" s="9" t="s">
        <v>140</v>
      </c>
      <c r="O3" s="9" t="s">
        <v>139</v>
      </c>
      <c r="P3" s="9" t="s">
        <v>139</v>
      </c>
      <c r="Q3" s="35" t="s">
        <v>141</v>
      </c>
      <c r="R3" s="36"/>
      <c r="S3" s="19"/>
      <c r="T3" s="23"/>
      <c r="U3" s="24"/>
      <c r="V3" s="24"/>
      <c r="W3" s="24"/>
      <c r="X3" s="24"/>
      <c r="Y3" s="25"/>
      <c r="Z3" s="24"/>
      <c r="AA3" s="24"/>
      <c r="AB3" s="24"/>
      <c r="AC3" s="24"/>
      <c r="AD3" s="24"/>
      <c r="AE3" s="24"/>
      <c r="AF3" s="8" t="s">
        <v>146</v>
      </c>
      <c r="AG3" s="46">
        <v>0</v>
      </c>
      <c r="AH3" s="9" t="s">
        <v>146</v>
      </c>
      <c r="AI3" s="46">
        <v>0</v>
      </c>
      <c r="AJ3" s="9" t="s">
        <v>146</v>
      </c>
      <c r="AK3" s="46">
        <v>0</v>
      </c>
      <c r="AL3" s="46">
        <v>0</v>
      </c>
      <c r="AM3" s="46">
        <v>0</v>
      </c>
      <c r="AN3" s="46">
        <v>0</v>
      </c>
      <c r="AO3" s="10" t="s">
        <v>146</v>
      </c>
      <c r="AP3" s="9" t="s">
        <v>142</v>
      </c>
      <c r="AQ3" s="23"/>
      <c r="AR3" s="24"/>
      <c r="AS3" s="24"/>
      <c r="AT3" s="24"/>
      <c r="AU3" s="24"/>
      <c r="AV3" s="24"/>
      <c r="AW3" s="24"/>
      <c r="AX3" s="24"/>
      <c r="AY3" s="24"/>
      <c r="AZ3" s="25"/>
      <c r="BA3" s="23"/>
      <c r="BB3" s="8"/>
      <c r="BC3" s="9"/>
      <c r="BD3" s="9"/>
      <c r="BE3" s="9"/>
      <c r="BF3" s="9"/>
      <c r="BG3" s="10"/>
      <c r="BJ3" s="35"/>
      <c r="BT3" t="s">
        <v>143</v>
      </c>
    </row>
    <row r="4" spans="1:74" x14ac:dyDescent="0.2">
      <c r="A4">
        <v>53</v>
      </c>
      <c r="B4" t="s">
        <v>75</v>
      </c>
      <c r="C4" t="s">
        <v>86</v>
      </c>
      <c r="D4">
        <v>4314</v>
      </c>
      <c r="E4" s="8">
        <v>20</v>
      </c>
      <c r="F4" s="9">
        <v>70</v>
      </c>
      <c r="G4" s="9">
        <v>5</v>
      </c>
      <c r="H4" s="9">
        <v>5</v>
      </c>
      <c r="I4" s="9">
        <f>($D4*E4)*0.01</f>
        <v>862.80000000000007</v>
      </c>
      <c r="J4" s="9">
        <f t="shared" ref="J4:L5" si="0">($D4*F4)*0.01</f>
        <v>3019.8</v>
      </c>
      <c r="K4" s="9">
        <f t="shared" si="0"/>
        <v>215.70000000000002</v>
      </c>
      <c r="L4" s="9">
        <f t="shared" si="0"/>
        <v>215.70000000000002</v>
      </c>
      <c r="M4" s="8">
        <v>36</v>
      </c>
      <c r="N4" s="9">
        <v>36</v>
      </c>
      <c r="O4" s="9">
        <v>36</v>
      </c>
      <c r="P4" s="24"/>
      <c r="Q4" s="35" t="s">
        <v>74</v>
      </c>
      <c r="R4" s="36"/>
      <c r="S4" s="19"/>
      <c r="T4" s="23"/>
      <c r="U4" s="24"/>
      <c r="V4" s="24"/>
      <c r="W4" s="24"/>
      <c r="X4" s="24"/>
      <c r="Y4" s="25"/>
      <c r="Z4" s="24"/>
      <c r="AA4" s="24"/>
      <c r="AB4" s="24"/>
      <c r="AC4" s="24"/>
      <c r="AD4" s="24"/>
      <c r="AE4" s="24"/>
      <c r="AF4" s="45">
        <v>0</v>
      </c>
      <c r="AG4" s="46">
        <v>0</v>
      </c>
      <c r="AH4" s="46">
        <v>0</v>
      </c>
      <c r="AI4" s="46">
        <v>0</v>
      </c>
      <c r="AJ4" s="9" t="s">
        <v>147</v>
      </c>
      <c r="AK4" s="46">
        <v>0</v>
      </c>
      <c r="AL4" s="46">
        <v>0</v>
      </c>
      <c r="AM4" s="46">
        <v>0</v>
      </c>
      <c r="AN4" s="46">
        <v>0</v>
      </c>
      <c r="AO4" s="10" t="s">
        <v>147</v>
      </c>
      <c r="AP4" s="9" t="s">
        <v>75</v>
      </c>
      <c r="AQ4" s="8">
        <v>15</v>
      </c>
      <c r="AR4" s="9">
        <v>60</v>
      </c>
      <c r="AS4" s="9">
        <v>15</v>
      </c>
      <c r="AT4" s="9">
        <v>5</v>
      </c>
      <c r="AU4" s="9">
        <v>5</v>
      </c>
      <c r="AV4" s="41">
        <f>(AQ4*$K4)*0.01</f>
        <v>32.355000000000004</v>
      </c>
      <c r="AW4" s="41">
        <f t="shared" ref="AW4:AZ4" si="1">(AR4*$K4)*0.01</f>
        <v>129.42000000000002</v>
      </c>
      <c r="AX4" s="41">
        <f t="shared" si="1"/>
        <v>32.355000000000004</v>
      </c>
      <c r="AY4" s="41">
        <f t="shared" si="1"/>
        <v>10.785</v>
      </c>
      <c r="AZ4" s="28">
        <f t="shared" si="1"/>
        <v>10.785</v>
      </c>
      <c r="BA4" s="8" t="s">
        <v>87</v>
      </c>
      <c r="BB4" s="8">
        <v>0</v>
      </c>
      <c r="BC4" s="9">
        <v>0</v>
      </c>
      <c r="BD4" s="9">
        <v>0</v>
      </c>
      <c r="BE4" s="9">
        <v>0</v>
      </c>
      <c r="BF4" s="9">
        <v>0</v>
      </c>
      <c r="BG4" s="10">
        <v>0</v>
      </c>
      <c r="BH4" s="59" t="s">
        <v>88</v>
      </c>
      <c r="BJ4" s="35" t="s">
        <v>74</v>
      </c>
      <c r="BT4" t="s">
        <v>89</v>
      </c>
    </row>
    <row r="5" spans="1:74" x14ac:dyDescent="0.2">
      <c r="A5">
        <v>70</v>
      </c>
      <c r="B5" t="s">
        <v>75</v>
      </c>
      <c r="C5" t="s">
        <v>86</v>
      </c>
      <c r="D5" s="1">
        <v>115000</v>
      </c>
      <c r="E5" s="8">
        <v>80</v>
      </c>
      <c r="F5" s="9">
        <v>10</v>
      </c>
      <c r="G5" s="9">
        <v>7</v>
      </c>
      <c r="H5" s="9">
        <v>3</v>
      </c>
      <c r="I5" s="9">
        <f>($D5*E5)*0.01</f>
        <v>92000</v>
      </c>
      <c r="J5" s="9">
        <f t="shared" si="0"/>
        <v>11500</v>
      </c>
      <c r="K5" s="9">
        <f t="shared" si="0"/>
        <v>8050</v>
      </c>
      <c r="L5" s="9">
        <f t="shared" si="0"/>
        <v>3450</v>
      </c>
      <c r="M5" s="8">
        <v>28</v>
      </c>
      <c r="N5" s="9">
        <v>28</v>
      </c>
      <c r="O5" s="9">
        <v>28</v>
      </c>
      <c r="P5" s="9">
        <v>28</v>
      </c>
      <c r="Q5" s="35" t="s">
        <v>75</v>
      </c>
      <c r="R5" s="35" t="s">
        <v>75</v>
      </c>
      <c r="S5" s="19"/>
      <c r="T5" s="8">
        <v>20</v>
      </c>
      <c r="U5" s="9">
        <v>30</v>
      </c>
      <c r="V5" s="9">
        <v>45</v>
      </c>
      <c r="W5" s="9">
        <v>0</v>
      </c>
      <c r="X5" s="9">
        <v>5</v>
      </c>
      <c r="Y5" s="10">
        <v>0</v>
      </c>
      <c r="Z5" s="41">
        <f t="shared" ref="Z5:Z27" si="2">($I5*T5)*0.01</f>
        <v>18400</v>
      </c>
      <c r="AA5" s="41">
        <f t="shared" ref="AA5:AE16" si="3">($I5*U5)*0.01</f>
        <v>27600</v>
      </c>
      <c r="AB5" s="41">
        <f t="shared" si="3"/>
        <v>41400</v>
      </c>
      <c r="AC5" s="41">
        <f t="shared" si="3"/>
        <v>0</v>
      </c>
      <c r="AD5" s="41">
        <f t="shared" si="3"/>
        <v>4600</v>
      </c>
      <c r="AE5" s="41">
        <f t="shared" si="3"/>
        <v>0</v>
      </c>
      <c r="AF5" s="8" t="s">
        <v>147</v>
      </c>
      <c r="AG5" s="9" t="s">
        <v>147</v>
      </c>
      <c r="AH5" s="9" t="s">
        <v>147</v>
      </c>
      <c r="AI5" s="9" t="s">
        <v>147</v>
      </c>
      <c r="AJ5" s="9" t="s">
        <v>147</v>
      </c>
      <c r="AK5" s="9" t="s">
        <v>147</v>
      </c>
      <c r="AL5" s="9" t="s">
        <v>147</v>
      </c>
      <c r="AM5" s="9" t="s">
        <v>147</v>
      </c>
      <c r="AN5" s="9" t="s">
        <v>147</v>
      </c>
      <c r="AO5" s="10" t="s">
        <v>147</v>
      </c>
      <c r="AP5" s="9" t="s">
        <v>77</v>
      </c>
      <c r="AQ5" s="23"/>
      <c r="AR5" s="24"/>
      <c r="AS5" s="24"/>
      <c r="AT5" s="24"/>
      <c r="AU5" s="24"/>
      <c r="AV5" s="24"/>
      <c r="AW5" s="24"/>
      <c r="AX5" s="24"/>
      <c r="AY5" s="24"/>
      <c r="AZ5" s="25"/>
      <c r="BA5" s="23"/>
      <c r="BB5" s="8"/>
      <c r="BC5" s="9"/>
      <c r="BD5" s="9"/>
      <c r="BE5" s="9"/>
      <c r="BF5" s="9"/>
      <c r="BG5" s="10"/>
      <c r="BJ5" s="35"/>
      <c r="BT5" t="s">
        <v>92</v>
      </c>
      <c r="BU5" t="s">
        <v>93</v>
      </c>
      <c r="BV5" t="s">
        <v>94</v>
      </c>
    </row>
    <row r="6" spans="1:74" x14ac:dyDescent="0.2">
      <c r="A6">
        <v>111</v>
      </c>
      <c r="B6" t="s">
        <v>75</v>
      </c>
      <c r="C6" t="s">
        <v>102</v>
      </c>
      <c r="D6">
        <v>119888.18</v>
      </c>
      <c r="E6" s="8">
        <f>(I6/$D6)*100</f>
        <v>6.6728846830438171E-2</v>
      </c>
      <c r="F6" s="9">
        <f t="shared" ref="F6:H6" si="4">(J6/$D6)*100</f>
        <v>41.687721008025989</v>
      </c>
      <c r="G6" s="9">
        <f t="shared" si="4"/>
        <v>5.1059161962421991</v>
      </c>
      <c r="H6" s="9">
        <f t="shared" si="4"/>
        <v>3.4847555447084115</v>
      </c>
      <c r="I6" s="9">
        <v>80</v>
      </c>
      <c r="J6" s="9">
        <v>49978.65</v>
      </c>
      <c r="K6" s="9">
        <v>6121.39</v>
      </c>
      <c r="L6" s="9">
        <v>4177.8100000000004</v>
      </c>
      <c r="M6" s="8">
        <v>28</v>
      </c>
      <c r="N6" s="9">
        <v>22</v>
      </c>
      <c r="O6" s="9">
        <v>22</v>
      </c>
      <c r="P6" s="9">
        <v>22</v>
      </c>
      <c r="Q6" s="35" t="s">
        <v>75</v>
      </c>
      <c r="R6" s="35" t="s">
        <v>74</v>
      </c>
      <c r="S6" t="s">
        <v>103</v>
      </c>
      <c r="T6" s="8">
        <v>0</v>
      </c>
      <c r="U6" s="9">
        <v>5</v>
      </c>
      <c r="V6" s="9">
        <v>70</v>
      </c>
      <c r="W6" s="9">
        <v>10</v>
      </c>
      <c r="X6" s="9">
        <v>10</v>
      </c>
      <c r="Y6" s="10">
        <v>5</v>
      </c>
      <c r="Z6" s="41">
        <f t="shared" si="2"/>
        <v>0</v>
      </c>
      <c r="AA6" s="41">
        <f t="shared" si="3"/>
        <v>4</v>
      </c>
      <c r="AB6" s="41">
        <f t="shared" si="3"/>
        <v>56</v>
      </c>
      <c r="AC6" s="41">
        <f t="shared" si="3"/>
        <v>8</v>
      </c>
      <c r="AD6" s="41">
        <f t="shared" si="3"/>
        <v>8</v>
      </c>
      <c r="AE6" s="41">
        <f t="shared" si="3"/>
        <v>4</v>
      </c>
      <c r="AF6" s="8" t="s">
        <v>147</v>
      </c>
      <c r="AG6" s="9" t="s">
        <v>147</v>
      </c>
      <c r="AH6" s="9" t="s">
        <v>147</v>
      </c>
      <c r="AI6" s="46">
        <v>0</v>
      </c>
      <c r="AJ6" s="9" t="s">
        <v>147</v>
      </c>
      <c r="AK6" s="9" t="s">
        <v>147</v>
      </c>
      <c r="AL6" s="9" t="s">
        <v>147</v>
      </c>
      <c r="AM6" s="9" t="s">
        <v>147</v>
      </c>
      <c r="AN6" s="9" t="s">
        <v>147</v>
      </c>
      <c r="AO6" s="10" t="s">
        <v>147</v>
      </c>
      <c r="AP6" s="9" t="s">
        <v>75</v>
      </c>
      <c r="AQ6" s="8">
        <v>0</v>
      </c>
      <c r="AR6" s="9">
        <v>5</v>
      </c>
      <c r="AS6" s="9">
        <v>90</v>
      </c>
      <c r="AT6" s="9">
        <v>5</v>
      </c>
      <c r="AU6" s="9">
        <v>0</v>
      </c>
      <c r="AV6" s="9">
        <f t="shared" ref="AV6:AV9" si="5">(AQ6*$K5)*0.01</f>
        <v>0</v>
      </c>
      <c r="AW6" s="9">
        <f t="shared" ref="AW6:AZ9" si="6">(AR6*$K5)*0.01</f>
        <v>402.5</v>
      </c>
      <c r="AX6" s="9">
        <f t="shared" si="6"/>
        <v>7245</v>
      </c>
      <c r="AY6" s="9">
        <f t="shared" si="6"/>
        <v>402.5</v>
      </c>
      <c r="AZ6" s="10">
        <f t="shared" si="6"/>
        <v>0</v>
      </c>
      <c r="BA6" s="8">
        <v>0</v>
      </c>
      <c r="BB6" s="8">
        <v>0</v>
      </c>
      <c r="BC6" s="9">
        <v>0</v>
      </c>
      <c r="BD6" s="9">
        <v>0</v>
      </c>
      <c r="BE6" s="9">
        <v>0</v>
      </c>
      <c r="BF6" s="9">
        <v>14</v>
      </c>
      <c r="BG6" s="10">
        <v>4248.7</v>
      </c>
      <c r="BI6" s="59" t="s">
        <v>104</v>
      </c>
      <c r="BJ6" s="35" t="s">
        <v>74</v>
      </c>
      <c r="BT6" t="s">
        <v>105</v>
      </c>
    </row>
    <row r="7" spans="1:74" x14ac:dyDescent="0.2">
      <c r="A7">
        <v>168</v>
      </c>
      <c r="B7" t="s">
        <v>75</v>
      </c>
      <c r="C7" t="s">
        <v>95</v>
      </c>
      <c r="D7" s="1">
        <v>100000</v>
      </c>
      <c r="E7" s="5">
        <v>0</v>
      </c>
      <c r="F7" s="6">
        <v>0</v>
      </c>
      <c r="G7" s="6">
        <v>0</v>
      </c>
      <c r="H7" s="6">
        <v>0</v>
      </c>
      <c r="I7" s="6">
        <v>0</v>
      </c>
      <c r="J7" s="6">
        <v>0</v>
      </c>
      <c r="K7" s="6">
        <v>0</v>
      </c>
      <c r="L7" s="6">
        <v>0</v>
      </c>
      <c r="M7" s="5">
        <v>0</v>
      </c>
      <c r="N7" s="6">
        <v>0</v>
      </c>
      <c r="O7" s="6">
        <v>0</v>
      </c>
      <c r="P7" s="6">
        <v>0</v>
      </c>
      <c r="Q7" s="35" t="s">
        <v>74</v>
      </c>
      <c r="R7" s="36"/>
      <c r="S7" s="19"/>
      <c r="T7" s="23"/>
      <c r="U7" s="24"/>
      <c r="V7" s="24"/>
      <c r="W7" s="24"/>
      <c r="X7" s="24"/>
      <c r="Y7" s="25"/>
      <c r="Z7" s="24"/>
      <c r="AA7" s="24"/>
      <c r="AB7" s="24"/>
      <c r="AC7" s="24"/>
      <c r="AD7" s="24"/>
      <c r="AE7" s="24"/>
      <c r="AF7" s="8" t="s">
        <v>147</v>
      </c>
      <c r="AG7" s="9" t="s">
        <v>147</v>
      </c>
      <c r="AH7" s="9" t="s">
        <v>147</v>
      </c>
      <c r="AI7" s="46">
        <v>0</v>
      </c>
      <c r="AJ7" s="46">
        <v>0</v>
      </c>
      <c r="AK7" s="46">
        <v>0</v>
      </c>
      <c r="AL7" s="46">
        <v>0</v>
      </c>
      <c r="AM7" s="46">
        <v>0</v>
      </c>
      <c r="AN7" s="46">
        <v>0</v>
      </c>
      <c r="AO7" s="47">
        <v>0</v>
      </c>
      <c r="AP7" s="9" t="s">
        <v>77</v>
      </c>
      <c r="AQ7" s="23"/>
      <c r="AR7" s="24"/>
      <c r="AS7" s="24"/>
      <c r="AT7" s="24"/>
      <c r="AU7" s="24"/>
      <c r="AV7" s="43"/>
      <c r="AW7" s="43"/>
      <c r="AX7" s="43"/>
      <c r="AY7" s="43"/>
      <c r="AZ7" s="54"/>
      <c r="BA7" s="23"/>
      <c r="BB7" s="8"/>
      <c r="BC7" s="9"/>
      <c r="BD7" s="9"/>
      <c r="BE7" s="9"/>
      <c r="BF7" s="9"/>
      <c r="BG7" s="10"/>
      <c r="BJ7" s="35"/>
      <c r="BU7" t="s">
        <v>96</v>
      </c>
      <c r="BV7" t="s">
        <v>97</v>
      </c>
    </row>
    <row r="8" spans="1:74" x14ac:dyDescent="0.2">
      <c r="A8">
        <v>174</v>
      </c>
      <c r="B8" t="s">
        <v>75</v>
      </c>
      <c r="C8" t="s">
        <v>95</v>
      </c>
      <c r="D8" s="1">
        <v>59040</v>
      </c>
      <c r="E8" s="5">
        <v>0</v>
      </c>
      <c r="F8" s="6">
        <v>0</v>
      </c>
      <c r="G8" s="6">
        <v>0</v>
      </c>
      <c r="H8" s="6">
        <v>0</v>
      </c>
      <c r="I8" s="6">
        <v>0</v>
      </c>
      <c r="J8" s="6">
        <v>0</v>
      </c>
      <c r="K8" s="6">
        <v>0</v>
      </c>
      <c r="L8" s="6">
        <v>0</v>
      </c>
      <c r="M8" s="23"/>
      <c r="N8" s="24"/>
      <c r="O8" s="24"/>
      <c r="P8" s="24"/>
      <c r="Q8" s="36"/>
      <c r="R8" s="36"/>
      <c r="S8" s="19"/>
      <c r="T8" s="23"/>
      <c r="U8" s="24"/>
      <c r="V8" s="24"/>
      <c r="W8" s="24"/>
      <c r="X8" s="24"/>
      <c r="Y8" s="25"/>
      <c r="Z8" s="24"/>
      <c r="AA8" s="24"/>
      <c r="AB8" s="24"/>
      <c r="AC8" s="24"/>
      <c r="AD8" s="24"/>
      <c r="AE8" s="24"/>
      <c r="AF8" s="23"/>
      <c r="AG8" s="24"/>
      <c r="AH8" s="24"/>
      <c r="AI8" s="24"/>
      <c r="AJ8" s="24"/>
      <c r="AK8" s="24"/>
      <c r="AL8" s="24"/>
      <c r="AM8" s="24"/>
      <c r="AN8" s="24"/>
      <c r="AO8" s="25"/>
      <c r="AP8" s="24"/>
      <c r="AQ8" s="23"/>
      <c r="AR8" s="24"/>
      <c r="AS8" s="24"/>
      <c r="AT8" s="24"/>
      <c r="AU8" s="24"/>
      <c r="AV8" s="43"/>
      <c r="AW8" s="43"/>
      <c r="AX8" s="43"/>
      <c r="AY8" s="43"/>
      <c r="AZ8" s="54"/>
      <c r="BA8" s="23"/>
      <c r="BB8" s="23"/>
      <c r="BC8" s="24"/>
      <c r="BD8" s="24"/>
      <c r="BE8" s="24"/>
      <c r="BF8" s="24"/>
      <c r="BG8" s="25"/>
      <c r="BJ8" s="36"/>
      <c r="BK8" s="19"/>
      <c r="BL8" s="19"/>
      <c r="BM8" s="19"/>
      <c r="BN8" s="19"/>
      <c r="BO8" s="19"/>
      <c r="BP8" s="19"/>
      <c r="BQ8" s="19"/>
      <c r="BR8" s="19"/>
      <c r="BS8" s="19"/>
      <c r="BT8" s="19"/>
      <c r="BU8" s="19"/>
    </row>
    <row r="9" spans="1:74" x14ac:dyDescent="0.2">
      <c r="A9">
        <v>207</v>
      </c>
      <c r="B9" t="s">
        <v>75</v>
      </c>
      <c r="C9" t="s">
        <v>106</v>
      </c>
      <c r="D9">
        <v>22163</v>
      </c>
      <c r="E9" s="8">
        <f>(I9/$D9)*100</f>
        <v>0</v>
      </c>
      <c r="F9" s="9">
        <f t="shared" ref="F9:H9" si="7">(J9/$D9)*100</f>
        <v>83.021251635608891</v>
      </c>
      <c r="G9" s="9">
        <f t="shared" si="7"/>
        <v>2.5041736227045077</v>
      </c>
      <c r="H9" s="9">
        <f t="shared" si="7"/>
        <v>15.358931552587645</v>
      </c>
      <c r="I9" s="9">
        <v>0</v>
      </c>
      <c r="J9" s="9">
        <v>18400</v>
      </c>
      <c r="K9" s="9">
        <v>555</v>
      </c>
      <c r="L9" s="9">
        <v>3404</v>
      </c>
      <c r="M9" s="8">
        <v>30</v>
      </c>
      <c r="N9" s="6">
        <v>0</v>
      </c>
      <c r="O9" s="6">
        <v>0</v>
      </c>
      <c r="P9" s="6">
        <v>0</v>
      </c>
      <c r="Q9" s="35" t="s">
        <v>75</v>
      </c>
      <c r="R9" s="35" t="s">
        <v>74</v>
      </c>
      <c r="S9" t="s">
        <v>107</v>
      </c>
      <c r="T9" s="8">
        <v>0</v>
      </c>
      <c r="U9" s="9">
        <v>0</v>
      </c>
      <c r="V9" s="9">
        <v>10</v>
      </c>
      <c r="W9" s="9">
        <v>0</v>
      </c>
      <c r="X9" s="9">
        <v>0</v>
      </c>
      <c r="Y9" s="10">
        <v>0</v>
      </c>
      <c r="Z9" s="42">
        <f t="shared" si="2"/>
        <v>0</v>
      </c>
      <c r="AA9" s="42">
        <f t="shared" si="3"/>
        <v>0</v>
      </c>
      <c r="AB9" s="42">
        <f t="shared" si="3"/>
        <v>0</v>
      </c>
      <c r="AC9" s="42">
        <f t="shared" si="3"/>
        <v>0</v>
      </c>
      <c r="AD9" s="42">
        <f t="shared" si="3"/>
        <v>0</v>
      </c>
      <c r="AE9" s="42">
        <f t="shared" si="3"/>
        <v>0</v>
      </c>
      <c r="AF9" s="8" t="s">
        <v>147</v>
      </c>
      <c r="AG9" s="9" t="s">
        <v>147</v>
      </c>
      <c r="AH9" s="9" t="s">
        <v>147</v>
      </c>
      <c r="AI9" s="9" t="s">
        <v>147</v>
      </c>
      <c r="AJ9" s="9" t="s">
        <v>147</v>
      </c>
      <c r="AK9" s="9" t="s">
        <v>147</v>
      </c>
      <c r="AL9" s="46">
        <v>0</v>
      </c>
      <c r="AM9" s="9">
        <v>0</v>
      </c>
      <c r="AN9" s="9" t="s">
        <v>147</v>
      </c>
      <c r="AO9" s="47">
        <v>0</v>
      </c>
      <c r="AP9" s="9" t="s">
        <v>75</v>
      </c>
      <c r="AQ9" s="8">
        <v>0</v>
      </c>
      <c r="AR9" s="9">
        <v>0</v>
      </c>
      <c r="AS9" s="9">
        <v>10</v>
      </c>
      <c r="AT9" s="9">
        <v>0</v>
      </c>
      <c r="AU9" s="9">
        <v>0</v>
      </c>
      <c r="AV9" s="42">
        <f t="shared" si="5"/>
        <v>0</v>
      </c>
      <c r="AW9" s="42">
        <f t="shared" si="6"/>
        <v>0</v>
      </c>
      <c r="AX9" s="42">
        <f t="shared" si="6"/>
        <v>0</v>
      </c>
      <c r="AY9" s="42">
        <f t="shared" si="6"/>
        <v>0</v>
      </c>
      <c r="AZ9" s="44">
        <f t="shared" si="6"/>
        <v>0</v>
      </c>
      <c r="BA9" s="8">
        <v>0</v>
      </c>
      <c r="BB9" s="8">
        <v>0</v>
      </c>
      <c r="BC9" s="9">
        <v>0</v>
      </c>
      <c r="BD9" s="9">
        <v>0</v>
      </c>
      <c r="BE9" s="9">
        <v>0</v>
      </c>
      <c r="BF9" s="9">
        <v>0</v>
      </c>
      <c r="BG9" s="10">
        <v>0</v>
      </c>
      <c r="BH9" s="59" t="s">
        <v>88</v>
      </c>
      <c r="BJ9" s="35" t="s">
        <v>74</v>
      </c>
      <c r="BT9" t="s">
        <v>108</v>
      </c>
    </row>
    <row r="10" spans="1:74" x14ac:dyDescent="0.2">
      <c r="A10">
        <v>251</v>
      </c>
      <c r="B10" t="s">
        <v>75</v>
      </c>
      <c r="C10" t="s">
        <v>106</v>
      </c>
      <c r="D10" s="1">
        <v>100000</v>
      </c>
      <c r="E10" s="5">
        <v>0</v>
      </c>
      <c r="F10" s="6">
        <v>0</v>
      </c>
      <c r="G10" s="6">
        <v>0</v>
      </c>
      <c r="H10" s="6">
        <v>0</v>
      </c>
      <c r="I10" s="6">
        <v>0</v>
      </c>
      <c r="J10" s="6">
        <v>0</v>
      </c>
      <c r="K10" s="6">
        <v>0</v>
      </c>
      <c r="L10" s="6">
        <v>0</v>
      </c>
      <c r="M10" s="23"/>
      <c r="N10" s="24"/>
      <c r="O10" s="24"/>
      <c r="P10" s="24"/>
      <c r="Q10" s="36"/>
      <c r="R10" s="36"/>
      <c r="S10" s="19"/>
      <c r="T10" s="23"/>
      <c r="U10" s="24"/>
      <c r="V10" s="24"/>
      <c r="W10" s="24"/>
      <c r="X10" s="24"/>
      <c r="Y10" s="25"/>
      <c r="Z10" s="24"/>
      <c r="AA10" s="24"/>
      <c r="AB10" s="24"/>
      <c r="AC10" s="24"/>
      <c r="AD10" s="24"/>
      <c r="AE10" s="24"/>
      <c r="AF10" s="23"/>
      <c r="AG10" s="24"/>
      <c r="AH10" s="24"/>
      <c r="AI10" s="24"/>
      <c r="AJ10" s="24"/>
      <c r="AK10" s="24"/>
      <c r="AL10" s="24"/>
      <c r="AM10" s="24"/>
      <c r="AN10" s="24"/>
      <c r="AO10" s="25"/>
      <c r="AP10" s="24"/>
      <c r="AQ10" s="23"/>
      <c r="AR10" s="24"/>
      <c r="AS10" s="24"/>
      <c r="AT10" s="24"/>
      <c r="AU10" s="24"/>
      <c r="AV10" s="24"/>
      <c r="AW10" s="24"/>
      <c r="AX10" s="24"/>
      <c r="AY10" s="24"/>
      <c r="AZ10" s="25"/>
      <c r="BA10" s="23"/>
      <c r="BB10" s="23"/>
      <c r="BC10" s="24"/>
      <c r="BD10" s="24"/>
      <c r="BE10" s="24"/>
      <c r="BF10" s="24"/>
      <c r="BG10" s="25"/>
      <c r="BJ10" s="36"/>
      <c r="BK10" s="19"/>
      <c r="BL10" s="19"/>
      <c r="BM10" s="19"/>
      <c r="BN10" s="19"/>
      <c r="BO10" s="19"/>
      <c r="BP10" s="19"/>
      <c r="BQ10" s="19"/>
      <c r="BR10" s="19"/>
      <c r="BS10" s="19"/>
      <c r="BT10" s="19"/>
      <c r="BU10" s="19"/>
    </row>
    <row r="11" spans="1:74" x14ac:dyDescent="0.2">
      <c r="A11">
        <v>267</v>
      </c>
      <c r="B11" t="s">
        <v>75</v>
      </c>
      <c r="C11" t="s">
        <v>125</v>
      </c>
      <c r="D11" s="1">
        <v>200000</v>
      </c>
      <c r="E11" s="5">
        <v>0</v>
      </c>
      <c r="F11" s="6">
        <v>0</v>
      </c>
      <c r="G11" s="6">
        <v>0</v>
      </c>
      <c r="H11" s="6">
        <v>0</v>
      </c>
      <c r="I11" s="6">
        <v>0</v>
      </c>
      <c r="J11" s="6">
        <v>0</v>
      </c>
      <c r="K11" s="6">
        <v>0</v>
      </c>
      <c r="L11" s="6">
        <v>0</v>
      </c>
      <c r="M11" s="23"/>
      <c r="N11" s="24"/>
      <c r="O11" s="24"/>
      <c r="P11" s="24"/>
      <c r="Q11" s="36"/>
      <c r="R11" s="36"/>
      <c r="S11" s="19"/>
      <c r="T11" s="23"/>
      <c r="U11" s="24"/>
      <c r="V11" s="24"/>
      <c r="W11" s="24"/>
      <c r="X11" s="24"/>
      <c r="Y11" s="25"/>
      <c r="Z11" s="24"/>
      <c r="AA11" s="24"/>
      <c r="AB11" s="24"/>
      <c r="AC11" s="24"/>
      <c r="AD11" s="24"/>
      <c r="AE11" s="24"/>
      <c r="AF11" s="23"/>
      <c r="AG11" s="24"/>
      <c r="AH11" s="24"/>
      <c r="AI11" s="24"/>
      <c r="AJ11" s="24"/>
      <c r="AK11" s="24"/>
      <c r="AL11" s="24"/>
      <c r="AM11" s="24"/>
      <c r="AN11" s="24"/>
      <c r="AO11" s="25"/>
      <c r="AP11" s="24"/>
      <c r="AQ11" s="23"/>
      <c r="AR11" s="24"/>
      <c r="AS11" s="24"/>
      <c r="AT11" s="24"/>
      <c r="AU11" s="24"/>
      <c r="AV11" s="24"/>
      <c r="AW11" s="24"/>
      <c r="AX11" s="24"/>
      <c r="AY11" s="24"/>
      <c r="AZ11" s="25"/>
      <c r="BA11" s="23"/>
      <c r="BB11" s="23"/>
      <c r="BC11" s="24"/>
      <c r="BD11" s="24"/>
      <c r="BE11" s="24"/>
      <c r="BF11" s="24"/>
      <c r="BG11" s="25"/>
      <c r="BJ11" s="36"/>
      <c r="BK11" s="19"/>
      <c r="BL11" s="19"/>
      <c r="BM11" s="19"/>
      <c r="BN11" s="19"/>
      <c r="BO11" s="19"/>
      <c r="BP11" s="19"/>
      <c r="BQ11" s="19"/>
      <c r="BR11" s="19"/>
      <c r="BS11" s="19"/>
      <c r="BT11" s="19"/>
      <c r="BU11" s="19"/>
    </row>
    <row r="12" spans="1:74" x14ac:dyDescent="0.2">
      <c r="A12">
        <v>303</v>
      </c>
      <c r="B12" t="s">
        <v>75</v>
      </c>
      <c r="C12" t="s">
        <v>125</v>
      </c>
      <c r="D12">
        <v>353000</v>
      </c>
      <c r="E12" s="5">
        <v>0</v>
      </c>
      <c r="F12" s="6">
        <v>0</v>
      </c>
      <c r="G12" s="6">
        <v>0</v>
      </c>
      <c r="H12" s="6">
        <v>0</v>
      </c>
      <c r="I12" s="6">
        <v>0</v>
      </c>
      <c r="J12" s="6">
        <v>0</v>
      </c>
      <c r="K12" s="6">
        <v>0</v>
      </c>
      <c r="L12" s="6">
        <v>0</v>
      </c>
      <c r="M12" s="23"/>
      <c r="N12" s="24"/>
      <c r="O12" s="24"/>
      <c r="P12" s="24"/>
      <c r="Q12" s="36"/>
      <c r="R12" s="36"/>
      <c r="S12" s="19"/>
      <c r="T12" s="23"/>
      <c r="U12" s="24"/>
      <c r="V12" s="24"/>
      <c r="W12" s="24"/>
      <c r="X12" s="24"/>
      <c r="Y12" s="25"/>
      <c r="Z12" s="24"/>
      <c r="AA12" s="24"/>
      <c r="AB12" s="24"/>
      <c r="AC12" s="24"/>
      <c r="AD12" s="24"/>
      <c r="AE12" s="24"/>
      <c r="AF12" s="23"/>
      <c r="AG12" s="24"/>
      <c r="AH12" s="24"/>
      <c r="AI12" s="24"/>
      <c r="AJ12" s="24"/>
      <c r="AK12" s="24"/>
      <c r="AL12" s="24"/>
      <c r="AM12" s="24"/>
      <c r="AN12" s="24"/>
      <c r="AO12" s="25"/>
      <c r="AP12" s="24"/>
      <c r="AQ12" s="23"/>
      <c r="AR12" s="24"/>
      <c r="AS12" s="24"/>
      <c r="AT12" s="24"/>
      <c r="AU12" s="24"/>
      <c r="AV12" s="24"/>
      <c r="AW12" s="24"/>
      <c r="AX12" s="24"/>
      <c r="AY12" s="24"/>
      <c r="AZ12" s="25"/>
      <c r="BA12" s="23"/>
      <c r="BB12" s="23"/>
      <c r="BC12" s="24"/>
      <c r="BD12" s="24"/>
      <c r="BE12" s="24"/>
      <c r="BF12" s="24"/>
      <c r="BG12" s="25"/>
      <c r="BJ12" s="36"/>
      <c r="BK12" s="19"/>
      <c r="BL12" s="19"/>
      <c r="BM12" s="19"/>
      <c r="BN12" s="19"/>
      <c r="BO12" s="19"/>
      <c r="BP12" s="19"/>
      <c r="BQ12" s="19"/>
      <c r="BR12" s="19"/>
      <c r="BS12" s="19"/>
      <c r="BT12" s="19"/>
      <c r="BU12" s="19"/>
    </row>
    <row r="13" spans="1:74" x14ac:dyDescent="0.2">
      <c r="A13">
        <v>376</v>
      </c>
      <c r="B13" t="s">
        <v>75</v>
      </c>
      <c r="C13" t="s">
        <v>90</v>
      </c>
      <c r="D13" s="1">
        <v>100000</v>
      </c>
      <c r="E13" s="8">
        <v>5</v>
      </c>
      <c r="F13" s="9">
        <v>95</v>
      </c>
      <c r="G13" s="9">
        <v>0</v>
      </c>
      <c r="H13" s="9">
        <v>0</v>
      </c>
      <c r="I13" s="9">
        <v>5000</v>
      </c>
      <c r="J13" s="9">
        <v>95000</v>
      </c>
      <c r="K13" s="9">
        <v>0</v>
      </c>
      <c r="L13" s="9">
        <v>0</v>
      </c>
      <c r="M13" s="26">
        <v>0</v>
      </c>
      <c r="N13" s="27">
        <v>0</v>
      </c>
      <c r="O13" s="27">
        <v>0</v>
      </c>
      <c r="P13" s="27">
        <v>0</v>
      </c>
      <c r="Q13" s="35" t="s">
        <v>75</v>
      </c>
      <c r="R13" s="35" t="s">
        <v>75</v>
      </c>
      <c r="S13" s="19"/>
      <c r="T13" s="8">
        <v>5</v>
      </c>
      <c r="U13" s="9">
        <v>5</v>
      </c>
      <c r="V13" s="9">
        <v>70</v>
      </c>
      <c r="W13" s="9">
        <v>0</v>
      </c>
      <c r="X13" s="9">
        <v>20</v>
      </c>
      <c r="Y13" s="10">
        <v>0</v>
      </c>
      <c r="Z13" s="41">
        <f t="shared" si="2"/>
        <v>250</v>
      </c>
      <c r="AA13" s="41">
        <f t="shared" si="3"/>
        <v>250</v>
      </c>
      <c r="AB13" s="41">
        <f>($I13*V13)*0.01</f>
        <v>3500</v>
      </c>
      <c r="AC13" s="41">
        <f t="shared" si="3"/>
        <v>0</v>
      </c>
      <c r="AD13" s="41">
        <f t="shared" si="3"/>
        <v>1000</v>
      </c>
      <c r="AE13" s="41">
        <f t="shared" si="3"/>
        <v>0</v>
      </c>
      <c r="AF13" s="23"/>
      <c r="AG13" s="24"/>
      <c r="AH13" s="24"/>
      <c r="AI13" s="24"/>
      <c r="AJ13" s="24"/>
      <c r="AK13" s="24"/>
      <c r="AL13" s="24"/>
      <c r="AM13" s="24"/>
      <c r="AN13" s="24"/>
      <c r="AO13" s="25"/>
      <c r="AP13" s="9" t="s">
        <v>77</v>
      </c>
      <c r="AQ13" s="23"/>
      <c r="AR13" s="24"/>
      <c r="AS13" s="24"/>
      <c r="AT13" s="24"/>
      <c r="AU13" s="24"/>
      <c r="AV13" s="24"/>
      <c r="AW13" s="24"/>
      <c r="AX13" s="24"/>
      <c r="AY13" s="24"/>
      <c r="AZ13" s="25"/>
      <c r="BA13" s="23"/>
      <c r="BB13" s="8"/>
      <c r="BC13" s="9"/>
      <c r="BD13" s="9"/>
      <c r="BE13" s="9"/>
      <c r="BF13" s="9"/>
      <c r="BG13" s="10"/>
      <c r="BJ13" s="35"/>
      <c r="BT13" t="s">
        <v>91</v>
      </c>
    </row>
    <row r="14" spans="1:74" x14ac:dyDescent="0.2">
      <c r="A14">
        <v>409</v>
      </c>
      <c r="B14" t="s">
        <v>75</v>
      </c>
      <c r="C14" t="s">
        <v>79</v>
      </c>
      <c r="D14">
        <v>1680</v>
      </c>
      <c r="E14" s="8">
        <v>25</v>
      </c>
      <c r="F14" s="9">
        <v>50</v>
      </c>
      <c r="G14" s="9">
        <v>25</v>
      </c>
      <c r="H14" s="9">
        <v>0</v>
      </c>
      <c r="I14" s="9">
        <f>(E14*$D14)*0.01</f>
        <v>420</v>
      </c>
      <c r="J14" s="9">
        <f t="shared" ref="J14:L14" si="8">(F14*$D14)*0.01</f>
        <v>840</v>
      </c>
      <c r="K14" s="9">
        <f t="shared" si="8"/>
        <v>420</v>
      </c>
      <c r="L14" s="9">
        <f t="shared" si="8"/>
        <v>0</v>
      </c>
      <c r="M14" s="8">
        <v>25</v>
      </c>
      <c r="N14" s="6">
        <v>0</v>
      </c>
      <c r="O14" s="6">
        <v>0</v>
      </c>
      <c r="P14" s="6">
        <v>0</v>
      </c>
      <c r="Q14" s="35" t="s">
        <v>75</v>
      </c>
      <c r="R14" s="35" t="s">
        <v>75</v>
      </c>
      <c r="S14" s="19"/>
      <c r="T14" s="8">
        <v>0</v>
      </c>
      <c r="U14" s="9">
        <v>80</v>
      </c>
      <c r="V14" s="9">
        <v>0</v>
      </c>
      <c r="W14" s="9">
        <v>10</v>
      </c>
      <c r="X14" s="9">
        <v>10</v>
      </c>
      <c r="Y14" s="10">
        <v>0</v>
      </c>
      <c r="Z14" s="41">
        <f t="shared" si="2"/>
        <v>0</v>
      </c>
      <c r="AA14" s="41">
        <f t="shared" si="3"/>
        <v>336</v>
      </c>
      <c r="AB14" s="41">
        <f t="shared" si="3"/>
        <v>0</v>
      </c>
      <c r="AC14" s="41">
        <f t="shared" si="3"/>
        <v>42</v>
      </c>
      <c r="AD14" s="41">
        <f t="shared" si="3"/>
        <v>42</v>
      </c>
      <c r="AE14" s="41">
        <f t="shared" si="3"/>
        <v>0</v>
      </c>
      <c r="AF14" s="45">
        <v>0</v>
      </c>
      <c r="AG14" s="46">
        <v>0</v>
      </c>
      <c r="AH14" s="46">
        <v>0</v>
      </c>
      <c r="AI14" s="46">
        <v>0</v>
      </c>
      <c r="AJ14" s="9" t="s">
        <v>147</v>
      </c>
      <c r="AK14" s="9" t="s">
        <v>147</v>
      </c>
      <c r="AL14" s="46">
        <v>0</v>
      </c>
      <c r="AM14" s="46">
        <v>0</v>
      </c>
      <c r="AN14" s="46">
        <v>0</v>
      </c>
      <c r="AO14" s="47">
        <v>0</v>
      </c>
      <c r="AP14" s="9" t="s">
        <v>77</v>
      </c>
      <c r="AQ14" s="23"/>
      <c r="AR14" s="24"/>
      <c r="AS14" s="24"/>
      <c r="AT14" s="24"/>
      <c r="AU14" s="24"/>
      <c r="AV14" s="24"/>
      <c r="AW14" s="24"/>
      <c r="AX14" s="24"/>
      <c r="AY14" s="24"/>
      <c r="AZ14" s="25"/>
      <c r="BA14" s="23"/>
      <c r="BB14" s="8"/>
      <c r="BC14" s="9"/>
      <c r="BD14" s="9"/>
      <c r="BE14" s="9"/>
      <c r="BF14" s="9"/>
      <c r="BG14" s="10"/>
      <c r="BJ14" s="35"/>
      <c r="BT14" t="s">
        <v>111</v>
      </c>
      <c r="BU14" t="s">
        <v>112</v>
      </c>
      <c r="BV14" t="s">
        <v>113</v>
      </c>
    </row>
    <row r="15" spans="1:74" x14ac:dyDescent="0.2">
      <c r="A15">
        <v>410</v>
      </c>
      <c r="B15" t="s">
        <v>75</v>
      </c>
      <c r="C15" t="s">
        <v>79</v>
      </c>
      <c r="D15">
        <v>200</v>
      </c>
      <c r="E15" s="5">
        <v>0</v>
      </c>
      <c r="F15" s="6">
        <v>0</v>
      </c>
      <c r="G15" s="6">
        <v>0</v>
      </c>
      <c r="H15" s="6">
        <v>0</v>
      </c>
      <c r="I15" s="6">
        <v>0</v>
      </c>
      <c r="J15" s="6">
        <v>0</v>
      </c>
      <c r="K15" s="6">
        <v>0</v>
      </c>
      <c r="L15" s="6">
        <v>0</v>
      </c>
      <c r="M15" s="5">
        <v>0</v>
      </c>
      <c r="N15" s="6">
        <v>0</v>
      </c>
      <c r="O15" s="6">
        <v>0</v>
      </c>
      <c r="P15" s="6">
        <v>0</v>
      </c>
      <c r="Q15" s="35" t="s">
        <v>74</v>
      </c>
      <c r="R15" s="36"/>
      <c r="S15" s="19"/>
      <c r="T15" s="23"/>
      <c r="U15" s="24"/>
      <c r="V15" s="24"/>
      <c r="W15" s="24"/>
      <c r="X15" s="24"/>
      <c r="Y15" s="25"/>
      <c r="Z15" s="24"/>
      <c r="AA15" s="24"/>
      <c r="AB15" s="24"/>
      <c r="AC15" s="24"/>
      <c r="AD15" s="24"/>
      <c r="AE15" s="24"/>
      <c r="AF15" s="45">
        <v>0</v>
      </c>
      <c r="AG15" s="46">
        <v>0</v>
      </c>
      <c r="AH15" s="46">
        <v>0</v>
      </c>
      <c r="AI15" s="46">
        <v>0</v>
      </c>
      <c r="AJ15" s="9" t="s">
        <v>147</v>
      </c>
      <c r="AK15" s="46">
        <v>0</v>
      </c>
      <c r="AL15" s="46">
        <v>0</v>
      </c>
      <c r="AM15" s="46">
        <v>0</v>
      </c>
      <c r="AN15" s="46">
        <v>0</v>
      </c>
      <c r="AO15" s="47">
        <v>0</v>
      </c>
      <c r="AP15" s="9" t="s">
        <v>77</v>
      </c>
      <c r="AQ15" s="23"/>
      <c r="AR15" s="24"/>
      <c r="AS15" s="24"/>
      <c r="AT15" s="24"/>
      <c r="AU15" s="24"/>
      <c r="AV15" s="24"/>
      <c r="AW15" s="24"/>
      <c r="AX15" s="24"/>
      <c r="AY15" s="24"/>
      <c r="AZ15" s="25"/>
      <c r="BA15" s="23"/>
      <c r="BB15" s="8"/>
      <c r="BC15" s="9"/>
      <c r="BD15" s="9"/>
      <c r="BE15" s="9"/>
      <c r="BF15" s="9"/>
      <c r="BG15" s="10"/>
      <c r="BJ15" s="35"/>
      <c r="BT15" t="s">
        <v>80</v>
      </c>
    </row>
    <row r="16" spans="1:74" x14ac:dyDescent="0.2">
      <c r="A16">
        <v>423</v>
      </c>
      <c r="B16" t="s">
        <v>75</v>
      </c>
      <c r="C16" t="s">
        <v>127</v>
      </c>
      <c r="D16">
        <v>419091</v>
      </c>
      <c r="E16" s="9">
        <f>(I16/$D16)*100</f>
        <v>0</v>
      </c>
      <c r="F16" s="9">
        <f t="shared" ref="F16:H16" si="9">(J16/$D16)*100</f>
        <v>0</v>
      </c>
      <c r="G16" s="9">
        <f t="shared" si="9"/>
        <v>2.0389366509898808</v>
      </c>
      <c r="H16" s="9">
        <f t="shared" si="9"/>
        <v>0</v>
      </c>
      <c r="I16" s="9">
        <v>0</v>
      </c>
      <c r="J16" s="9">
        <v>0</v>
      </c>
      <c r="K16" s="9">
        <v>8545</v>
      </c>
      <c r="L16" s="9">
        <v>0</v>
      </c>
      <c r="M16" s="8">
        <v>60</v>
      </c>
      <c r="N16" s="6">
        <v>0</v>
      </c>
      <c r="O16" s="6">
        <v>0</v>
      </c>
      <c r="P16" s="6">
        <v>0</v>
      </c>
      <c r="Q16" s="35" t="s">
        <v>75</v>
      </c>
      <c r="R16" s="35" t="s">
        <v>74</v>
      </c>
      <c r="S16" t="s">
        <v>130</v>
      </c>
      <c r="T16" s="8">
        <v>0</v>
      </c>
      <c r="U16" s="9">
        <v>5</v>
      </c>
      <c r="V16" s="9">
        <v>5</v>
      </c>
      <c r="W16" s="9">
        <v>5</v>
      </c>
      <c r="X16" s="9">
        <v>0</v>
      </c>
      <c r="Y16" s="10">
        <v>0</v>
      </c>
      <c r="Z16" s="42">
        <f t="shared" si="2"/>
        <v>0</v>
      </c>
      <c r="AA16" s="42">
        <f t="shared" si="3"/>
        <v>0</v>
      </c>
      <c r="AB16" s="42">
        <f t="shared" si="3"/>
        <v>0</v>
      </c>
      <c r="AC16" s="42">
        <f t="shared" si="3"/>
        <v>0</v>
      </c>
      <c r="AD16" s="42">
        <f t="shared" si="3"/>
        <v>0</v>
      </c>
      <c r="AE16" s="42">
        <f t="shared" si="3"/>
        <v>0</v>
      </c>
      <c r="AF16" s="8" t="s">
        <v>147</v>
      </c>
      <c r="AG16" s="9" t="s">
        <v>147</v>
      </c>
      <c r="AH16" s="9" t="s">
        <v>147</v>
      </c>
      <c r="AI16" s="9" t="s">
        <v>147</v>
      </c>
      <c r="AJ16" s="9" t="s">
        <v>147</v>
      </c>
      <c r="AK16" s="46">
        <v>0</v>
      </c>
      <c r="AL16" s="46">
        <v>0</v>
      </c>
      <c r="AM16" s="46">
        <v>0</v>
      </c>
      <c r="AN16" s="9" t="s">
        <v>147</v>
      </c>
      <c r="AO16" s="10" t="s">
        <v>147</v>
      </c>
      <c r="AP16" s="9" t="s">
        <v>75</v>
      </c>
      <c r="AQ16" s="8">
        <f>(AV16/$K16)*100</f>
        <v>85.956699824458752</v>
      </c>
      <c r="AR16" s="9">
        <f t="shared" ref="AR16:AU16" si="10">(AW16/$K16)*100</f>
        <v>5.8513750731421883</v>
      </c>
      <c r="AS16" s="9">
        <f t="shared" si="10"/>
        <v>5.8513750731421883</v>
      </c>
      <c r="AT16" s="9">
        <f t="shared" si="10"/>
        <v>2.3405500292568755</v>
      </c>
      <c r="AU16" s="9">
        <f t="shared" si="10"/>
        <v>0</v>
      </c>
      <c r="AV16" s="9">
        <v>7345</v>
      </c>
      <c r="AW16" s="9">
        <v>500</v>
      </c>
      <c r="AX16" s="9">
        <v>500</v>
      </c>
      <c r="AY16" s="9">
        <v>200</v>
      </c>
      <c r="AZ16" s="10">
        <v>0</v>
      </c>
      <c r="BA16" s="8">
        <v>0</v>
      </c>
      <c r="BB16" s="8">
        <v>5</v>
      </c>
      <c r="BC16" s="6">
        <v>0</v>
      </c>
      <c r="BD16" s="9">
        <v>0</v>
      </c>
      <c r="BE16" s="9">
        <v>0</v>
      </c>
      <c r="BF16" s="9">
        <v>0</v>
      </c>
      <c r="BG16" s="10">
        <v>0</v>
      </c>
      <c r="BJ16" s="35" t="s">
        <v>74</v>
      </c>
      <c r="BT16" t="s">
        <v>128</v>
      </c>
      <c r="BU16" t="s">
        <v>129</v>
      </c>
      <c r="BV16" t="s">
        <v>126</v>
      </c>
    </row>
    <row r="17" spans="1:74" x14ac:dyDescent="0.2">
      <c r="A17">
        <v>457</v>
      </c>
      <c r="B17" t="s">
        <v>75</v>
      </c>
      <c r="C17" t="s">
        <v>76</v>
      </c>
      <c r="D17">
        <f>(12789*413.56)/2000</f>
        <v>2644.5094199999999</v>
      </c>
      <c r="E17" s="9">
        <v>0</v>
      </c>
      <c r="F17" s="9">
        <v>100</v>
      </c>
      <c r="G17" s="9">
        <v>0</v>
      </c>
      <c r="H17" s="9">
        <v>0</v>
      </c>
      <c r="I17" s="9">
        <v>0</v>
      </c>
      <c r="J17" s="9">
        <f>D17</f>
        <v>2644.5094199999999</v>
      </c>
      <c r="K17" s="9">
        <v>0</v>
      </c>
      <c r="L17" s="9">
        <v>0</v>
      </c>
      <c r="M17" s="8">
        <v>6</v>
      </c>
      <c r="N17" s="6">
        <v>0</v>
      </c>
      <c r="O17" s="6">
        <v>0</v>
      </c>
      <c r="P17" s="6">
        <v>0</v>
      </c>
      <c r="Q17" s="35" t="s">
        <v>75</v>
      </c>
      <c r="R17" s="35" t="s">
        <v>75</v>
      </c>
      <c r="S17" s="19"/>
      <c r="T17" s="23"/>
      <c r="U17" s="24"/>
      <c r="V17" s="24"/>
      <c r="W17" s="24"/>
      <c r="X17" s="24"/>
      <c r="Y17" s="25"/>
      <c r="Z17" s="24"/>
      <c r="AA17" s="24"/>
      <c r="AB17" s="24"/>
      <c r="AC17" s="24"/>
      <c r="AD17" s="24"/>
      <c r="AE17" s="24"/>
      <c r="AF17" s="23"/>
      <c r="AG17" s="24"/>
      <c r="AH17" s="24"/>
      <c r="AI17" s="24"/>
      <c r="AJ17" s="24"/>
      <c r="AK17" s="24"/>
      <c r="AL17" s="24"/>
      <c r="AM17" s="24"/>
      <c r="AN17" s="24"/>
      <c r="AO17" s="25"/>
      <c r="AP17" s="9" t="s">
        <v>77</v>
      </c>
      <c r="AQ17" s="23"/>
      <c r="AR17" s="24"/>
      <c r="AS17" s="24"/>
      <c r="AT17" s="24"/>
      <c r="AU17" s="24"/>
      <c r="AV17" s="24"/>
      <c r="AW17" s="24"/>
      <c r="AX17" s="24"/>
      <c r="AY17" s="24"/>
      <c r="AZ17" s="25"/>
      <c r="BA17" s="23"/>
      <c r="BB17" s="8"/>
      <c r="BC17" s="9"/>
      <c r="BD17" s="9"/>
      <c r="BE17" s="9"/>
      <c r="BF17" s="9"/>
      <c r="BG17" s="10"/>
      <c r="BJ17" s="35"/>
      <c r="BT17" t="s">
        <v>119</v>
      </c>
      <c r="BV17" t="s">
        <v>118</v>
      </c>
    </row>
    <row r="18" spans="1:74" x14ac:dyDescent="0.2">
      <c r="A18">
        <v>482</v>
      </c>
      <c r="B18" t="s">
        <v>75</v>
      </c>
      <c r="C18" t="s">
        <v>76</v>
      </c>
      <c r="D18">
        <v>4862</v>
      </c>
      <c r="E18" s="8">
        <v>80</v>
      </c>
      <c r="F18" s="9">
        <v>20</v>
      </c>
      <c r="G18" s="9">
        <v>0</v>
      </c>
      <c r="H18" s="9">
        <v>0</v>
      </c>
      <c r="I18" s="9">
        <f>(E18*$D18)*0.01</f>
        <v>3889.6</v>
      </c>
      <c r="J18" s="9">
        <f t="shared" ref="J18:L18" si="11">(F18*$D18)*0.01</f>
        <v>972.4</v>
      </c>
      <c r="K18" s="9">
        <f t="shared" si="11"/>
        <v>0</v>
      </c>
      <c r="L18" s="9">
        <f t="shared" si="11"/>
        <v>0</v>
      </c>
      <c r="M18" s="8">
        <v>28</v>
      </c>
      <c r="N18" s="9">
        <v>28</v>
      </c>
      <c r="O18" s="9">
        <v>28</v>
      </c>
      <c r="P18" s="9">
        <v>25</v>
      </c>
      <c r="Q18" s="35" t="s">
        <v>75</v>
      </c>
      <c r="R18" s="35" t="s">
        <v>75</v>
      </c>
      <c r="S18" s="19"/>
      <c r="T18" s="8">
        <v>0</v>
      </c>
      <c r="U18" s="9">
        <v>59.8</v>
      </c>
      <c r="V18" s="9">
        <v>20</v>
      </c>
      <c r="W18" s="9">
        <v>0</v>
      </c>
      <c r="X18" s="9">
        <v>0.2</v>
      </c>
      <c r="Y18" s="10">
        <v>0</v>
      </c>
      <c r="Z18" s="41">
        <f t="shared" si="2"/>
        <v>0</v>
      </c>
      <c r="AA18" s="41">
        <f t="shared" ref="AA18:AA27" si="12">($I18*U18)*0.01</f>
        <v>2325.9807999999998</v>
      </c>
      <c r="AB18" s="41">
        <f t="shared" ref="AB18:AB27" si="13">($I18*V18)*0.01</f>
        <v>777.92000000000007</v>
      </c>
      <c r="AC18" s="41">
        <f t="shared" ref="AC18:AC27" si="14">($I18*W18)*0.01</f>
        <v>0</v>
      </c>
      <c r="AD18" s="41">
        <f t="shared" ref="AD18:AD27" si="15">($I18*X18)*0.01</f>
        <v>7.7792000000000012</v>
      </c>
      <c r="AE18" s="41">
        <f t="shared" ref="AE18:AE27" si="16">($I18*Y18)*0.01</f>
        <v>0</v>
      </c>
      <c r="AF18" s="45">
        <v>0</v>
      </c>
      <c r="AG18" s="46">
        <v>0</v>
      </c>
      <c r="AH18" s="46">
        <v>0</v>
      </c>
      <c r="AI18" s="46">
        <v>0</v>
      </c>
      <c r="AJ18" s="46">
        <v>0</v>
      </c>
      <c r="AK18" s="46">
        <v>0</v>
      </c>
      <c r="AL18" s="46">
        <v>0</v>
      </c>
      <c r="AM18" s="46">
        <v>0</v>
      </c>
      <c r="AN18" s="46">
        <v>0</v>
      </c>
      <c r="AO18" s="10" t="s">
        <v>147</v>
      </c>
      <c r="AP18" s="9" t="s">
        <v>75</v>
      </c>
      <c r="AQ18" s="8">
        <v>0</v>
      </c>
      <c r="AR18" s="9">
        <v>0</v>
      </c>
      <c r="AS18" s="9">
        <v>0</v>
      </c>
      <c r="AT18" s="9">
        <v>1</v>
      </c>
      <c r="AU18" s="9">
        <f>(AQ19*K18)*0.01</f>
        <v>0</v>
      </c>
      <c r="AV18" s="42">
        <f t="shared" ref="AV18:AZ18" si="17">(AR19*L18)*0.01</f>
        <v>0</v>
      </c>
      <c r="AW18" s="42">
        <f t="shared" si="17"/>
        <v>0</v>
      </c>
      <c r="AX18" s="42">
        <f t="shared" si="17"/>
        <v>0</v>
      </c>
      <c r="AY18" s="42">
        <f t="shared" si="17"/>
        <v>0</v>
      </c>
      <c r="AZ18" s="44">
        <f t="shared" si="17"/>
        <v>0</v>
      </c>
      <c r="BA18" s="8">
        <v>0</v>
      </c>
      <c r="BB18" s="8">
        <v>0</v>
      </c>
      <c r="BC18" s="9">
        <v>0</v>
      </c>
      <c r="BD18" s="9">
        <v>0</v>
      </c>
      <c r="BE18" s="9">
        <v>0</v>
      </c>
      <c r="BF18" s="9">
        <v>0</v>
      </c>
      <c r="BG18" s="10">
        <v>0</v>
      </c>
      <c r="BJ18" s="35" t="s">
        <v>74</v>
      </c>
      <c r="BT18" t="s">
        <v>115</v>
      </c>
      <c r="BU18" t="s">
        <v>116</v>
      </c>
      <c r="BV18" t="s">
        <v>114</v>
      </c>
    </row>
    <row r="19" spans="1:74" x14ac:dyDescent="0.2">
      <c r="A19">
        <v>652</v>
      </c>
      <c r="B19" t="s">
        <v>75</v>
      </c>
      <c r="C19" t="s">
        <v>98</v>
      </c>
      <c r="D19">
        <v>4275</v>
      </c>
      <c r="E19" s="8">
        <v>0</v>
      </c>
      <c r="F19" s="9">
        <v>100</v>
      </c>
      <c r="G19" s="9">
        <v>0</v>
      </c>
      <c r="H19" s="9">
        <v>0</v>
      </c>
      <c r="I19" s="9">
        <v>0</v>
      </c>
      <c r="J19" s="9">
        <f>D19</f>
        <v>4275</v>
      </c>
      <c r="K19" s="9">
        <v>0</v>
      </c>
      <c r="L19" s="9">
        <v>0</v>
      </c>
      <c r="M19" s="8">
        <v>12.5</v>
      </c>
      <c r="N19" s="9">
        <v>12.5</v>
      </c>
      <c r="O19" s="9">
        <v>12.5</v>
      </c>
      <c r="P19" s="9">
        <v>0</v>
      </c>
      <c r="Q19" s="35" t="s">
        <v>75</v>
      </c>
      <c r="R19" s="35" t="s">
        <v>75</v>
      </c>
      <c r="S19" s="19"/>
      <c r="T19" s="8">
        <v>5</v>
      </c>
      <c r="U19" s="9">
        <v>70</v>
      </c>
      <c r="V19" s="9">
        <v>0</v>
      </c>
      <c r="W19" s="9">
        <v>15</v>
      </c>
      <c r="X19" s="9">
        <v>5</v>
      </c>
      <c r="Y19" s="10">
        <v>5</v>
      </c>
      <c r="Z19" s="41">
        <f t="shared" si="2"/>
        <v>0</v>
      </c>
      <c r="AA19" s="41">
        <f t="shared" si="12"/>
        <v>0</v>
      </c>
      <c r="AB19" s="41">
        <f t="shared" si="13"/>
        <v>0</v>
      </c>
      <c r="AC19" s="41">
        <f t="shared" si="14"/>
        <v>0</v>
      </c>
      <c r="AD19" s="41">
        <f>($I19*X19)*0.01</f>
        <v>0</v>
      </c>
      <c r="AE19" s="41">
        <f t="shared" si="16"/>
        <v>0</v>
      </c>
      <c r="AF19" s="23"/>
      <c r="AG19" s="24"/>
      <c r="AH19" s="24"/>
      <c r="AI19" s="24"/>
      <c r="AJ19" s="24"/>
      <c r="AK19" s="24"/>
      <c r="AL19" s="24"/>
      <c r="AM19" s="24"/>
      <c r="AN19" s="24"/>
      <c r="AO19" s="25"/>
      <c r="AP19" s="9" t="s">
        <v>77</v>
      </c>
      <c r="AQ19" s="23"/>
      <c r="AR19" s="24"/>
      <c r="AS19" s="24"/>
      <c r="AT19" s="24"/>
      <c r="AU19" s="24"/>
      <c r="AV19" s="24"/>
      <c r="AW19" s="24"/>
      <c r="AX19" s="24"/>
      <c r="AY19" s="24"/>
      <c r="AZ19" s="25"/>
      <c r="BA19" s="23"/>
      <c r="BB19" s="8"/>
      <c r="BC19" s="9"/>
      <c r="BD19" s="9"/>
      <c r="BE19" s="9"/>
      <c r="BF19" s="9"/>
      <c r="BG19" s="10"/>
      <c r="BJ19" s="35"/>
      <c r="BT19" t="s">
        <v>99</v>
      </c>
      <c r="BU19" t="s">
        <v>100</v>
      </c>
      <c r="BV19" t="s">
        <v>101</v>
      </c>
    </row>
    <row r="20" spans="1:74" x14ac:dyDescent="0.2">
      <c r="A20">
        <v>676</v>
      </c>
      <c r="B20" t="s">
        <v>75</v>
      </c>
      <c r="C20" t="s">
        <v>81</v>
      </c>
      <c r="D20">
        <v>10</v>
      </c>
      <c r="E20" s="6">
        <v>0</v>
      </c>
      <c r="F20" s="6">
        <v>0</v>
      </c>
      <c r="G20" s="6">
        <v>0</v>
      </c>
      <c r="H20" s="6">
        <v>0</v>
      </c>
      <c r="I20" s="6">
        <v>0</v>
      </c>
      <c r="J20" s="6">
        <v>0</v>
      </c>
      <c r="K20" s="6">
        <v>0</v>
      </c>
      <c r="L20" s="6">
        <v>0</v>
      </c>
      <c r="M20" s="24"/>
      <c r="N20" s="24"/>
      <c r="O20" s="24"/>
      <c r="P20" s="24"/>
      <c r="Q20" s="36"/>
      <c r="R20" s="36"/>
      <c r="S20" s="19"/>
      <c r="T20" s="23"/>
      <c r="U20" s="24"/>
      <c r="V20" s="24"/>
      <c r="W20" s="24"/>
      <c r="X20" s="24"/>
      <c r="Y20" s="25"/>
      <c r="Z20" s="24"/>
      <c r="AA20" s="24"/>
      <c r="AB20" s="24"/>
      <c r="AC20" s="24"/>
      <c r="AD20" s="24"/>
      <c r="AE20" s="24"/>
      <c r="AF20" s="23"/>
      <c r="AG20" s="24"/>
      <c r="AH20" s="24"/>
      <c r="AI20" s="24"/>
      <c r="AJ20" s="24"/>
      <c r="AK20" s="24"/>
      <c r="AL20" s="24"/>
      <c r="AM20" s="24"/>
      <c r="AN20" s="24"/>
      <c r="AO20" s="25"/>
      <c r="AP20" s="24"/>
      <c r="AQ20" s="23"/>
      <c r="AR20" s="24"/>
      <c r="AS20" s="24"/>
      <c r="AT20" s="24"/>
      <c r="AU20" s="24"/>
      <c r="AV20" s="24"/>
      <c r="AW20" s="24"/>
      <c r="AX20" s="24"/>
      <c r="AY20" s="24"/>
      <c r="AZ20" s="25"/>
      <c r="BA20" s="23"/>
      <c r="BB20" s="8"/>
      <c r="BC20" s="9"/>
      <c r="BD20" s="9"/>
      <c r="BE20" s="9"/>
      <c r="BF20" s="9"/>
      <c r="BG20" s="10"/>
      <c r="BJ20" s="35"/>
    </row>
    <row r="21" spans="1:74" x14ac:dyDescent="0.2">
      <c r="A21">
        <v>679</v>
      </c>
      <c r="B21" t="s">
        <v>75</v>
      </c>
      <c r="C21" t="s">
        <v>81</v>
      </c>
      <c r="D21">
        <v>4000</v>
      </c>
      <c r="E21" s="8">
        <v>100</v>
      </c>
      <c r="F21" s="9">
        <v>0</v>
      </c>
      <c r="G21" s="9">
        <v>0</v>
      </c>
      <c r="H21" s="9">
        <v>0</v>
      </c>
      <c r="I21" s="9">
        <v>4000</v>
      </c>
      <c r="J21" s="9">
        <v>0</v>
      </c>
      <c r="K21" s="9">
        <v>0</v>
      </c>
      <c r="L21" s="9">
        <v>0</v>
      </c>
      <c r="M21" s="5">
        <v>0</v>
      </c>
      <c r="N21" s="6">
        <v>0</v>
      </c>
      <c r="O21" s="6">
        <v>0</v>
      </c>
      <c r="P21" s="6">
        <v>0</v>
      </c>
      <c r="Q21" s="35" t="s">
        <v>75</v>
      </c>
      <c r="R21" s="35" t="s">
        <v>74</v>
      </c>
      <c r="S21" t="s">
        <v>82</v>
      </c>
      <c r="T21" s="8">
        <v>0</v>
      </c>
      <c r="U21" s="9">
        <v>50</v>
      </c>
      <c r="V21" s="9">
        <v>40</v>
      </c>
      <c r="W21" s="9">
        <v>10</v>
      </c>
      <c r="X21" s="9">
        <v>0</v>
      </c>
      <c r="Y21" s="10">
        <v>0</v>
      </c>
      <c r="Z21" s="41">
        <f t="shared" si="2"/>
        <v>0</v>
      </c>
      <c r="AA21" s="41">
        <f t="shared" si="12"/>
        <v>2000</v>
      </c>
      <c r="AB21" s="41">
        <f t="shared" si="13"/>
        <v>1600</v>
      </c>
      <c r="AC21" s="41">
        <f t="shared" si="14"/>
        <v>400</v>
      </c>
      <c r="AD21" s="41">
        <f t="shared" si="15"/>
        <v>0</v>
      </c>
      <c r="AE21" s="41">
        <f t="shared" si="16"/>
        <v>0</v>
      </c>
      <c r="AF21" s="23"/>
      <c r="AG21" s="24"/>
      <c r="AH21" s="24"/>
      <c r="AI21" s="24"/>
      <c r="AJ21" s="24"/>
      <c r="AK21" s="24"/>
      <c r="AL21" s="24"/>
      <c r="AM21" s="24"/>
      <c r="AN21" s="24"/>
      <c r="AO21" s="25"/>
      <c r="AP21" s="9" t="s">
        <v>77</v>
      </c>
      <c r="AQ21" s="23"/>
      <c r="AR21" s="24"/>
      <c r="AS21" s="24"/>
      <c r="AT21" s="24"/>
      <c r="AU21" s="24"/>
      <c r="AV21" s="24"/>
      <c r="AW21" s="24"/>
      <c r="AX21" s="24"/>
      <c r="AY21" s="24"/>
      <c r="AZ21" s="25"/>
      <c r="BA21" s="23"/>
      <c r="BB21" s="8"/>
      <c r="BC21" s="9"/>
      <c r="BD21" s="9"/>
      <c r="BE21" s="9"/>
      <c r="BF21" s="9"/>
      <c r="BG21" s="10"/>
      <c r="BJ21" s="35"/>
    </row>
    <row r="22" spans="1:74" x14ac:dyDescent="0.2">
      <c r="A22">
        <v>680</v>
      </c>
      <c r="B22" t="s">
        <v>75</v>
      </c>
      <c r="C22" t="s">
        <v>81</v>
      </c>
      <c r="D22" s="1">
        <v>1513</v>
      </c>
      <c r="E22" s="8">
        <v>80</v>
      </c>
      <c r="F22" s="9">
        <v>100</v>
      </c>
      <c r="G22" s="9">
        <v>0</v>
      </c>
      <c r="H22" s="9">
        <v>0</v>
      </c>
      <c r="I22" s="9">
        <f>(E22*$D22)*0.01</f>
        <v>1210.4000000000001</v>
      </c>
      <c r="J22" s="9">
        <f t="shared" ref="J22:L27" si="18">(F22*$D22)*0.01</f>
        <v>1513</v>
      </c>
      <c r="K22" s="9">
        <f t="shared" si="18"/>
        <v>0</v>
      </c>
      <c r="L22" s="9">
        <f t="shared" si="18"/>
        <v>0</v>
      </c>
      <c r="M22" s="8">
        <v>60</v>
      </c>
      <c r="N22" s="9">
        <v>50</v>
      </c>
      <c r="O22" s="6">
        <v>0</v>
      </c>
      <c r="P22" s="6">
        <v>0</v>
      </c>
      <c r="Q22" s="35" t="s">
        <v>74</v>
      </c>
      <c r="R22" s="36"/>
      <c r="S22" s="19"/>
      <c r="T22" s="23"/>
      <c r="U22" s="24"/>
      <c r="V22" s="24"/>
      <c r="W22" s="24"/>
      <c r="X22" s="24"/>
      <c r="Y22" s="25"/>
      <c r="Z22" s="24"/>
      <c r="AA22" s="24"/>
      <c r="AB22" s="24"/>
      <c r="AC22" s="24"/>
      <c r="AD22" s="24"/>
      <c r="AE22" s="24"/>
      <c r="AF22" s="45">
        <v>0</v>
      </c>
      <c r="AG22" s="9" t="s">
        <v>147</v>
      </c>
      <c r="AH22" s="9" t="s">
        <v>147</v>
      </c>
      <c r="AI22" s="9" t="s">
        <v>147</v>
      </c>
      <c r="AJ22" s="9" t="s">
        <v>147</v>
      </c>
      <c r="AK22" s="9" t="s">
        <v>147</v>
      </c>
      <c r="AL22" s="9" t="s">
        <v>147</v>
      </c>
      <c r="AM22" s="9" t="s">
        <v>147</v>
      </c>
      <c r="AN22" s="9" t="s">
        <v>147</v>
      </c>
      <c r="AO22" s="10" t="s">
        <v>147</v>
      </c>
      <c r="AP22" s="9" t="s">
        <v>75</v>
      </c>
      <c r="AQ22" s="8">
        <v>0</v>
      </c>
      <c r="AR22" s="9">
        <v>0</v>
      </c>
      <c r="AS22" s="9">
        <v>0</v>
      </c>
      <c r="AT22" s="9">
        <v>100</v>
      </c>
      <c r="AU22" s="9">
        <v>0</v>
      </c>
      <c r="AV22" s="42">
        <f>(AQ22*$K22)*0.01</f>
        <v>0</v>
      </c>
      <c r="AW22" s="42">
        <f t="shared" ref="AW22:AZ22" si="19">(AR22*$K22)*0.01</f>
        <v>0</v>
      </c>
      <c r="AX22" s="42">
        <f t="shared" si="19"/>
        <v>0</v>
      </c>
      <c r="AY22" s="42">
        <f t="shared" si="19"/>
        <v>0</v>
      </c>
      <c r="AZ22" s="44">
        <f t="shared" si="19"/>
        <v>0</v>
      </c>
      <c r="BA22" s="8">
        <v>0</v>
      </c>
      <c r="BB22" s="8">
        <v>20</v>
      </c>
      <c r="BC22" s="6">
        <v>0</v>
      </c>
      <c r="BD22" s="9">
        <v>30</v>
      </c>
      <c r="BE22" s="6">
        <v>0</v>
      </c>
      <c r="BF22" s="9">
        <v>0</v>
      </c>
      <c r="BG22" s="10">
        <v>0</v>
      </c>
      <c r="BJ22" s="35" t="s">
        <v>83</v>
      </c>
      <c r="BK22" t="s">
        <v>84</v>
      </c>
      <c r="BL22" t="s">
        <v>75</v>
      </c>
      <c r="BN22">
        <v>0</v>
      </c>
      <c r="BO22">
        <v>0</v>
      </c>
      <c r="BP22">
        <v>0</v>
      </c>
      <c r="BQ22">
        <v>0</v>
      </c>
      <c r="BR22">
        <v>0</v>
      </c>
      <c r="BS22">
        <v>0</v>
      </c>
      <c r="BT22" t="s">
        <v>85</v>
      </c>
    </row>
    <row r="23" spans="1:74" x14ac:dyDescent="0.2">
      <c r="A23">
        <v>731</v>
      </c>
      <c r="B23" t="s">
        <v>75</v>
      </c>
      <c r="C23" t="s">
        <v>127</v>
      </c>
      <c r="D23">
        <v>4500</v>
      </c>
      <c r="E23" s="8">
        <v>0</v>
      </c>
      <c r="F23" s="9">
        <v>100</v>
      </c>
      <c r="G23" s="9">
        <v>0</v>
      </c>
      <c r="H23" s="9">
        <v>0</v>
      </c>
      <c r="I23" s="9">
        <f t="shared" ref="I23:I27" si="20">(E23*$D23)*0.01</f>
        <v>0</v>
      </c>
      <c r="J23" s="9">
        <f t="shared" si="18"/>
        <v>4500</v>
      </c>
      <c r="K23" s="9">
        <f t="shared" si="18"/>
        <v>0</v>
      </c>
      <c r="L23" s="9">
        <f t="shared" si="18"/>
        <v>0</v>
      </c>
      <c r="M23" s="8">
        <v>60</v>
      </c>
      <c r="N23" s="6">
        <v>0</v>
      </c>
      <c r="O23" s="6">
        <v>0</v>
      </c>
      <c r="P23" s="6">
        <v>0</v>
      </c>
      <c r="Q23" s="35" t="s">
        <v>75</v>
      </c>
      <c r="R23" s="35" t="s">
        <v>75</v>
      </c>
      <c r="S23" s="19"/>
      <c r="T23" s="8">
        <v>0</v>
      </c>
      <c r="U23" s="9">
        <v>0</v>
      </c>
      <c r="V23" s="9">
        <v>10</v>
      </c>
      <c r="W23" s="9">
        <v>5</v>
      </c>
      <c r="X23" s="9">
        <v>0</v>
      </c>
      <c r="Y23" s="10">
        <v>0</v>
      </c>
      <c r="Z23" s="42">
        <f t="shared" si="2"/>
        <v>0</v>
      </c>
      <c r="AA23" s="42">
        <f t="shared" si="12"/>
        <v>0</v>
      </c>
      <c r="AB23" s="42">
        <f t="shared" si="13"/>
        <v>0</v>
      </c>
      <c r="AC23" s="42">
        <f t="shared" si="14"/>
        <v>0</v>
      </c>
      <c r="AD23" s="42">
        <f t="shared" si="15"/>
        <v>0</v>
      </c>
      <c r="AE23" s="42">
        <f t="shared" si="16"/>
        <v>0</v>
      </c>
      <c r="AF23" s="45">
        <v>0</v>
      </c>
      <c r="AG23" s="46">
        <v>0</v>
      </c>
      <c r="AH23" s="9" t="s">
        <v>146</v>
      </c>
      <c r="AI23" s="46">
        <v>0</v>
      </c>
      <c r="AJ23" s="9" t="s">
        <v>147</v>
      </c>
      <c r="AK23" s="46">
        <v>0</v>
      </c>
      <c r="AL23" s="46">
        <v>0</v>
      </c>
      <c r="AM23" s="46">
        <v>0</v>
      </c>
      <c r="AN23" s="46">
        <v>0</v>
      </c>
      <c r="AO23" s="47">
        <v>0</v>
      </c>
      <c r="AP23" s="9" t="s">
        <v>75</v>
      </c>
      <c r="AQ23" s="8" t="e">
        <f>(AV23/$K23)*100</f>
        <v>#DIV/0!</v>
      </c>
      <c r="AR23" s="8" t="e">
        <f t="shared" ref="AR23:AU23" si="21">(AW23/$K23)*100</f>
        <v>#DIV/0!</v>
      </c>
      <c r="AS23" s="8" t="e">
        <f t="shared" si="21"/>
        <v>#DIV/0!</v>
      </c>
      <c r="AT23" s="8" t="e">
        <f t="shared" si="21"/>
        <v>#DIV/0!</v>
      </c>
      <c r="AU23" s="8" t="e">
        <f t="shared" si="21"/>
        <v>#DIV/0!</v>
      </c>
      <c r="AV23" s="42">
        <v>200</v>
      </c>
      <c r="AW23" s="42">
        <v>0</v>
      </c>
      <c r="AX23" s="42">
        <v>0</v>
      </c>
      <c r="AY23" s="42">
        <v>0</v>
      </c>
      <c r="AZ23" s="44">
        <v>0</v>
      </c>
      <c r="BA23" s="8">
        <v>0</v>
      </c>
      <c r="BB23" s="8">
        <v>18</v>
      </c>
      <c r="BC23" s="6">
        <v>0</v>
      </c>
      <c r="BD23" s="9">
        <v>0</v>
      </c>
      <c r="BE23" s="9">
        <v>0</v>
      </c>
      <c r="BF23" s="9">
        <v>0</v>
      </c>
      <c r="BG23" s="10">
        <v>0</v>
      </c>
      <c r="BJ23" s="35" t="s">
        <v>74</v>
      </c>
      <c r="BT23" t="s">
        <v>128</v>
      </c>
      <c r="BU23" t="s">
        <v>129</v>
      </c>
      <c r="BV23" t="s">
        <v>126</v>
      </c>
    </row>
    <row r="24" spans="1:74" x14ac:dyDescent="0.2">
      <c r="A24">
        <v>760</v>
      </c>
      <c r="B24" t="s">
        <v>75</v>
      </c>
      <c r="C24" t="s">
        <v>76</v>
      </c>
      <c r="D24">
        <v>1601</v>
      </c>
      <c r="E24" s="8">
        <v>0</v>
      </c>
      <c r="F24" s="9">
        <v>99</v>
      </c>
      <c r="G24" s="9">
        <v>0</v>
      </c>
      <c r="H24" s="9">
        <v>1</v>
      </c>
      <c r="I24" s="9">
        <f t="shared" si="20"/>
        <v>0</v>
      </c>
      <c r="J24" s="9">
        <f t="shared" si="18"/>
        <v>1584.99</v>
      </c>
      <c r="K24" s="9">
        <f t="shared" si="18"/>
        <v>0</v>
      </c>
      <c r="L24" s="9">
        <f t="shared" si="18"/>
        <v>16.010000000000002</v>
      </c>
      <c r="M24" s="8">
        <v>5</v>
      </c>
      <c r="N24" s="9">
        <v>5</v>
      </c>
      <c r="O24" s="9">
        <v>5</v>
      </c>
      <c r="P24" s="9">
        <v>5</v>
      </c>
      <c r="Q24" s="35" t="s">
        <v>75</v>
      </c>
      <c r="R24" s="35" t="s">
        <v>75</v>
      </c>
      <c r="S24" s="19"/>
      <c r="T24" s="8">
        <v>0</v>
      </c>
      <c r="U24" s="9">
        <v>95</v>
      </c>
      <c r="V24" s="9">
        <v>0</v>
      </c>
      <c r="W24" s="9">
        <v>0</v>
      </c>
      <c r="X24" s="9">
        <v>5</v>
      </c>
      <c r="Y24" s="10">
        <v>0</v>
      </c>
      <c r="Z24" s="42">
        <f t="shared" si="2"/>
        <v>0</v>
      </c>
      <c r="AA24" s="42">
        <f t="shared" si="12"/>
        <v>0</v>
      </c>
      <c r="AB24" s="42">
        <f t="shared" si="13"/>
        <v>0</v>
      </c>
      <c r="AC24" s="42">
        <f t="shared" si="14"/>
        <v>0</v>
      </c>
      <c r="AD24" s="42">
        <f t="shared" si="15"/>
        <v>0</v>
      </c>
      <c r="AE24" s="42">
        <f t="shared" si="16"/>
        <v>0</v>
      </c>
      <c r="AF24" s="45">
        <v>0</v>
      </c>
      <c r="AG24" s="46">
        <v>0</v>
      </c>
      <c r="AH24" s="46">
        <v>0</v>
      </c>
      <c r="AI24" s="46">
        <v>0</v>
      </c>
      <c r="AJ24" s="9" t="s">
        <v>147</v>
      </c>
      <c r="AK24" s="46">
        <v>0</v>
      </c>
      <c r="AL24" s="46">
        <v>0</v>
      </c>
      <c r="AM24" s="46">
        <v>0</v>
      </c>
      <c r="AN24" s="46">
        <v>0</v>
      </c>
      <c r="AO24" s="47">
        <v>0</v>
      </c>
      <c r="AP24" s="9" t="s">
        <v>77</v>
      </c>
      <c r="AQ24" s="23"/>
      <c r="AR24" s="24"/>
      <c r="AS24" s="24"/>
      <c r="AT24" s="24"/>
      <c r="AU24" s="24"/>
      <c r="AV24" s="24"/>
      <c r="AW24" s="24"/>
      <c r="AX24" s="24"/>
      <c r="AY24" s="24"/>
      <c r="AZ24" s="25"/>
      <c r="BA24" s="23"/>
      <c r="BB24" s="8"/>
      <c r="BC24" s="9"/>
      <c r="BD24" s="9"/>
      <c r="BE24" s="9"/>
      <c r="BF24" s="9"/>
      <c r="BG24" s="10"/>
      <c r="BJ24" s="35"/>
      <c r="BT24" t="s">
        <v>78</v>
      </c>
    </row>
    <row r="25" spans="1:74" x14ac:dyDescent="0.2">
      <c r="A25">
        <v>766</v>
      </c>
      <c r="B25" t="s">
        <v>75</v>
      </c>
      <c r="C25" t="s">
        <v>76</v>
      </c>
      <c r="D25">
        <v>953</v>
      </c>
      <c r="E25" s="5">
        <v>0</v>
      </c>
      <c r="F25" s="6">
        <v>0</v>
      </c>
      <c r="G25" s="6">
        <v>0</v>
      </c>
      <c r="H25" s="6">
        <v>0</v>
      </c>
      <c r="I25" s="6">
        <f t="shared" si="20"/>
        <v>0</v>
      </c>
      <c r="J25" s="6">
        <f t="shared" si="18"/>
        <v>0</v>
      </c>
      <c r="K25" s="6">
        <f t="shared" si="18"/>
        <v>0</v>
      </c>
      <c r="L25" s="6">
        <f t="shared" si="18"/>
        <v>0</v>
      </c>
      <c r="M25" s="5">
        <v>0</v>
      </c>
      <c r="N25" s="6">
        <v>0</v>
      </c>
      <c r="O25" s="6">
        <v>0</v>
      </c>
      <c r="P25" s="6">
        <v>0</v>
      </c>
      <c r="Q25" s="35" t="s">
        <v>74</v>
      </c>
      <c r="R25" s="36"/>
      <c r="S25" s="19"/>
      <c r="T25" s="23"/>
      <c r="U25" s="24"/>
      <c r="V25" s="24"/>
      <c r="W25" s="24"/>
      <c r="X25" s="24"/>
      <c r="Y25" s="25"/>
      <c r="Z25" s="24"/>
      <c r="AA25" s="24"/>
      <c r="AB25" s="24"/>
      <c r="AC25" s="24"/>
      <c r="AD25" s="24"/>
      <c r="AE25" s="24"/>
      <c r="AF25" s="8" t="s">
        <v>147</v>
      </c>
      <c r="AG25" s="46">
        <v>0</v>
      </c>
      <c r="AH25" s="9" t="s">
        <v>147</v>
      </c>
      <c r="AI25" s="46">
        <v>0</v>
      </c>
      <c r="AJ25" s="9" t="s">
        <v>147</v>
      </c>
      <c r="AK25" s="46">
        <v>0</v>
      </c>
      <c r="AL25" s="46">
        <v>0</v>
      </c>
      <c r="AM25" s="46">
        <v>0</v>
      </c>
      <c r="AN25" s="46">
        <v>0</v>
      </c>
      <c r="AO25" s="47">
        <v>0</v>
      </c>
      <c r="AP25" s="9" t="s">
        <v>77</v>
      </c>
      <c r="AQ25" s="23"/>
      <c r="AR25" s="24"/>
      <c r="AS25" s="24"/>
      <c r="AT25" s="24"/>
      <c r="AU25" s="24"/>
      <c r="AV25" s="24"/>
      <c r="AW25" s="24"/>
      <c r="AX25" s="24"/>
      <c r="AY25" s="24"/>
      <c r="AZ25" s="25"/>
      <c r="BA25" s="23"/>
      <c r="BB25" s="8"/>
      <c r="BC25" s="9"/>
      <c r="BD25" s="9"/>
      <c r="BE25" s="9"/>
      <c r="BF25" s="9"/>
      <c r="BG25" s="10"/>
      <c r="BJ25" s="35"/>
      <c r="BT25" t="s">
        <v>117</v>
      </c>
    </row>
    <row r="26" spans="1:74" x14ac:dyDescent="0.2">
      <c r="A26">
        <v>851</v>
      </c>
      <c r="B26" t="s">
        <v>75</v>
      </c>
      <c r="C26" t="s">
        <v>109</v>
      </c>
      <c r="D26">
        <v>2645</v>
      </c>
      <c r="E26" s="5">
        <v>0</v>
      </c>
      <c r="F26" s="6">
        <v>0</v>
      </c>
      <c r="G26" s="6">
        <v>0</v>
      </c>
      <c r="H26" s="6">
        <v>0</v>
      </c>
      <c r="I26" s="6">
        <f t="shared" si="20"/>
        <v>0</v>
      </c>
      <c r="J26" s="6">
        <f t="shared" si="18"/>
        <v>0</v>
      </c>
      <c r="K26" s="6">
        <f t="shared" si="18"/>
        <v>0</v>
      </c>
      <c r="L26" s="6">
        <f t="shared" si="18"/>
        <v>0</v>
      </c>
      <c r="M26" s="5">
        <v>0</v>
      </c>
      <c r="N26" s="6">
        <v>0</v>
      </c>
      <c r="O26" s="6">
        <v>0</v>
      </c>
      <c r="P26" s="6">
        <v>0</v>
      </c>
      <c r="Q26" s="35" t="s">
        <v>74</v>
      </c>
      <c r="R26" s="36"/>
      <c r="S26" s="19"/>
      <c r="T26" s="23"/>
      <c r="U26" s="24"/>
      <c r="V26" s="24"/>
      <c r="W26" s="24"/>
      <c r="X26" s="24"/>
      <c r="Y26" s="25"/>
      <c r="Z26" s="24"/>
      <c r="AA26" s="24"/>
      <c r="AB26" s="24"/>
      <c r="AC26" s="24"/>
      <c r="AD26" s="24"/>
      <c r="AE26" s="24"/>
      <c r="AF26" s="8" t="s">
        <v>147</v>
      </c>
      <c r="AG26" s="46">
        <v>0</v>
      </c>
      <c r="AH26" s="9" t="s">
        <v>147</v>
      </c>
      <c r="AI26" s="46">
        <v>0</v>
      </c>
      <c r="AJ26" s="46">
        <v>0</v>
      </c>
      <c r="AK26" s="46">
        <v>0</v>
      </c>
      <c r="AL26" s="46">
        <v>0</v>
      </c>
      <c r="AM26" s="46">
        <v>0</v>
      </c>
      <c r="AN26" s="46">
        <v>0</v>
      </c>
      <c r="AO26" s="47">
        <v>0</v>
      </c>
      <c r="AP26" s="9" t="s">
        <v>77</v>
      </c>
      <c r="AQ26" s="23"/>
      <c r="AR26" s="24"/>
      <c r="AS26" s="24"/>
      <c r="AT26" s="24"/>
      <c r="AU26" s="24"/>
      <c r="AV26" s="24"/>
      <c r="AW26" s="24"/>
      <c r="AX26" s="24"/>
      <c r="AY26" s="24"/>
      <c r="AZ26" s="25"/>
      <c r="BA26" s="23"/>
      <c r="BB26" s="8"/>
      <c r="BC26" s="9"/>
      <c r="BD26" s="9"/>
      <c r="BE26" s="9"/>
      <c r="BF26" s="9"/>
      <c r="BG26" s="10"/>
      <c r="BJ26" s="35"/>
      <c r="BT26" t="s">
        <v>110</v>
      </c>
    </row>
    <row r="27" spans="1:74" x14ac:dyDescent="0.2">
      <c r="A27">
        <v>2191</v>
      </c>
      <c r="B27" t="s">
        <v>75</v>
      </c>
      <c r="C27" t="s">
        <v>121</v>
      </c>
      <c r="D27">
        <v>80000</v>
      </c>
      <c r="E27" s="8">
        <v>60</v>
      </c>
      <c r="F27" s="9">
        <v>36</v>
      </c>
      <c r="G27" s="9">
        <v>2</v>
      </c>
      <c r="H27" s="9">
        <v>2</v>
      </c>
      <c r="I27" s="9">
        <f t="shared" si="20"/>
        <v>48000</v>
      </c>
      <c r="J27" s="9">
        <f t="shared" si="18"/>
        <v>28800</v>
      </c>
      <c r="K27" s="9">
        <f t="shared" si="18"/>
        <v>1600</v>
      </c>
      <c r="L27" s="9">
        <f t="shared" si="18"/>
        <v>1600</v>
      </c>
      <c r="M27" s="8">
        <v>24.5</v>
      </c>
      <c r="N27" s="9">
        <v>24.5</v>
      </c>
      <c r="O27" s="9">
        <v>24.5</v>
      </c>
      <c r="P27" s="9">
        <v>24.5</v>
      </c>
      <c r="Q27" s="35" t="s">
        <v>75</v>
      </c>
      <c r="R27" s="35" t="s">
        <v>75</v>
      </c>
      <c r="S27" s="19"/>
      <c r="T27" s="8">
        <v>5</v>
      </c>
      <c r="U27" s="9">
        <v>5</v>
      </c>
      <c r="V27" s="9">
        <v>85</v>
      </c>
      <c r="W27" s="9">
        <v>0</v>
      </c>
      <c r="X27" s="9">
        <v>5</v>
      </c>
      <c r="Y27" s="10">
        <v>0</v>
      </c>
      <c r="Z27" s="41">
        <f t="shared" si="2"/>
        <v>2400</v>
      </c>
      <c r="AA27" s="41">
        <f t="shared" si="12"/>
        <v>2400</v>
      </c>
      <c r="AB27" s="41">
        <f t="shared" si="13"/>
        <v>40800</v>
      </c>
      <c r="AC27" s="41">
        <f t="shared" si="14"/>
        <v>0</v>
      </c>
      <c r="AD27" s="41">
        <f t="shared" si="15"/>
        <v>2400</v>
      </c>
      <c r="AE27" s="41">
        <f t="shared" si="16"/>
        <v>0</v>
      </c>
      <c r="AF27" s="45">
        <v>0</v>
      </c>
      <c r="AG27" s="46">
        <v>0</v>
      </c>
      <c r="AH27" s="9" t="s">
        <v>147</v>
      </c>
      <c r="AI27" s="9" t="s">
        <v>147</v>
      </c>
      <c r="AJ27" s="9" t="s">
        <v>147</v>
      </c>
      <c r="AK27" s="9" t="s">
        <v>147</v>
      </c>
      <c r="AL27" s="46">
        <v>0</v>
      </c>
      <c r="AM27" s="46">
        <v>0</v>
      </c>
      <c r="AN27" s="9" t="s">
        <v>147</v>
      </c>
      <c r="AO27" s="10" t="s">
        <v>147</v>
      </c>
      <c r="AP27" s="9" t="s">
        <v>75</v>
      </c>
      <c r="AQ27" s="8">
        <v>60</v>
      </c>
      <c r="AR27" s="9">
        <v>0</v>
      </c>
      <c r="AS27" s="9">
        <v>0</v>
      </c>
      <c r="AT27" s="9">
        <v>40</v>
      </c>
      <c r="AU27" s="9">
        <v>0</v>
      </c>
      <c r="AV27" s="9">
        <f>(AQ27*$K27)*0.01</f>
        <v>960</v>
      </c>
      <c r="AW27" s="9">
        <f t="shared" ref="AW27:AZ27" si="22">(AR27*$K27)*0.01</f>
        <v>0</v>
      </c>
      <c r="AX27" s="9">
        <f t="shared" si="22"/>
        <v>0</v>
      </c>
      <c r="AY27" s="9">
        <f t="shared" si="22"/>
        <v>640</v>
      </c>
      <c r="AZ27" s="10">
        <f t="shared" si="22"/>
        <v>0</v>
      </c>
      <c r="BA27" s="8">
        <v>100</v>
      </c>
      <c r="BB27" s="8"/>
      <c r="BC27" s="9"/>
      <c r="BD27" s="9"/>
      <c r="BE27" s="9"/>
      <c r="BF27" s="9"/>
      <c r="BG27" s="10"/>
      <c r="BJ27" s="35"/>
    </row>
    <row r="28" spans="1:74" x14ac:dyDescent="0.2">
      <c r="A28">
        <v>2259</v>
      </c>
      <c r="B28" t="s">
        <v>75</v>
      </c>
      <c r="C28" t="s">
        <v>121</v>
      </c>
      <c r="D28">
        <v>44315.1</v>
      </c>
      <c r="E28" s="14">
        <f>(I28/$D28)*100</f>
        <v>3.4523898174662815</v>
      </c>
      <c r="F28" s="14">
        <f t="shared" ref="F28:H28" si="23">(J28/$D28)*100</f>
        <v>52.270512759759093</v>
      </c>
      <c r="G28" s="14">
        <f t="shared" si="23"/>
        <v>15.431015613188281</v>
      </c>
      <c r="H28" s="14">
        <f t="shared" si="23"/>
        <v>28.846081809586348</v>
      </c>
      <c r="I28" s="9">
        <v>1529.93</v>
      </c>
      <c r="J28" s="9">
        <v>23163.73</v>
      </c>
      <c r="K28" s="9">
        <v>6838.27</v>
      </c>
      <c r="L28" s="9">
        <v>12783.17</v>
      </c>
      <c r="M28" s="8">
        <v>30</v>
      </c>
      <c r="N28" s="9">
        <v>30</v>
      </c>
      <c r="O28" s="9">
        <v>30</v>
      </c>
      <c r="P28" s="9">
        <v>30</v>
      </c>
      <c r="Q28" s="35" t="s">
        <v>75</v>
      </c>
      <c r="R28" s="35" t="s">
        <v>75</v>
      </c>
      <c r="S28" s="19"/>
      <c r="T28" s="8">
        <f>(Z28/I28)*100</f>
        <v>100</v>
      </c>
      <c r="U28" s="8">
        <f t="shared" ref="U28:Y28" si="24">(AA28/J28)*100</f>
        <v>0</v>
      </c>
      <c r="V28" s="8">
        <f t="shared" si="24"/>
        <v>0</v>
      </c>
      <c r="W28" s="8">
        <f t="shared" si="24"/>
        <v>0</v>
      </c>
      <c r="X28" s="8">
        <f t="shared" si="24"/>
        <v>363.7</v>
      </c>
      <c r="Y28" s="8">
        <f t="shared" si="24"/>
        <v>0</v>
      </c>
      <c r="Z28" s="41">
        <v>1529.93</v>
      </c>
      <c r="AA28" s="41">
        <v>0</v>
      </c>
      <c r="AB28" s="41">
        <v>0</v>
      </c>
      <c r="AC28" s="41">
        <v>0</v>
      </c>
      <c r="AD28" s="41">
        <v>109.11</v>
      </c>
      <c r="AE28" s="41">
        <v>0</v>
      </c>
      <c r="AF28" s="8" t="s">
        <v>147</v>
      </c>
      <c r="AG28" s="9" t="s">
        <v>147</v>
      </c>
      <c r="AH28" s="9" t="s">
        <v>147</v>
      </c>
      <c r="AI28" s="46">
        <v>0</v>
      </c>
      <c r="AJ28" s="46">
        <v>0</v>
      </c>
      <c r="AK28" s="46">
        <v>0</v>
      </c>
      <c r="AL28" s="46">
        <v>0</v>
      </c>
      <c r="AM28" s="46">
        <v>0</v>
      </c>
      <c r="AN28" s="46">
        <v>0</v>
      </c>
      <c r="AO28" s="10" t="s">
        <v>147</v>
      </c>
      <c r="AP28" s="9" t="s">
        <v>75</v>
      </c>
      <c r="AQ28" s="8">
        <v>0</v>
      </c>
      <c r="AR28" s="9">
        <v>0</v>
      </c>
      <c r="AS28" s="9">
        <v>0</v>
      </c>
      <c r="AT28" s="9">
        <v>0</v>
      </c>
      <c r="AU28" s="9">
        <v>0</v>
      </c>
      <c r="AV28" s="9">
        <v>6729.16</v>
      </c>
      <c r="AW28" s="9">
        <v>0</v>
      </c>
      <c r="AX28" s="9">
        <v>0</v>
      </c>
      <c r="AY28" s="9">
        <v>109.11</v>
      </c>
      <c r="AZ28" s="10">
        <v>0</v>
      </c>
      <c r="BA28" s="8">
        <v>0</v>
      </c>
      <c r="BB28" s="8">
        <v>0</v>
      </c>
      <c r="BC28" s="9">
        <v>0</v>
      </c>
      <c r="BD28" s="9">
        <v>14.13</v>
      </c>
      <c r="BE28" s="9">
        <v>2466.37</v>
      </c>
      <c r="BF28" s="9">
        <v>0</v>
      </c>
      <c r="BG28" s="10">
        <v>0</v>
      </c>
      <c r="BJ28" s="35" t="s">
        <v>83</v>
      </c>
      <c r="BK28" t="s">
        <v>122</v>
      </c>
      <c r="BL28" t="s">
        <v>75</v>
      </c>
      <c r="BM28">
        <v>1</v>
      </c>
      <c r="BN28">
        <v>0</v>
      </c>
      <c r="BO28">
        <v>0</v>
      </c>
      <c r="BP28">
        <v>0</v>
      </c>
      <c r="BQ28">
        <v>0</v>
      </c>
      <c r="BR28">
        <v>0</v>
      </c>
      <c r="BS28">
        <v>0</v>
      </c>
      <c r="BU28" t="s">
        <v>123</v>
      </c>
      <c r="BV28" t="s">
        <v>124</v>
      </c>
    </row>
    <row r="29" spans="1:74" x14ac:dyDescent="0.2">
      <c r="A29">
        <v>2353</v>
      </c>
      <c r="B29" t="s">
        <v>75</v>
      </c>
      <c r="C29" t="s">
        <v>135</v>
      </c>
      <c r="D29" s="1">
        <v>108000</v>
      </c>
      <c r="E29" s="8">
        <v>20</v>
      </c>
      <c r="F29" s="9">
        <v>80</v>
      </c>
      <c r="G29" s="9">
        <v>0</v>
      </c>
      <c r="H29" s="9">
        <v>0</v>
      </c>
      <c r="I29" s="9">
        <f>(E29*$D29)*0.01</f>
        <v>21600</v>
      </c>
      <c r="J29" s="9">
        <f t="shared" ref="J29:L30" si="25">(F29*$D29)*0.01</f>
        <v>86400</v>
      </c>
      <c r="K29" s="9">
        <f t="shared" si="25"/>
        <v>0</v>
      </c>
      <c r="L29" s="9">
        <f t="shared" si="25"/>
        <v>0</v>
      </c>
      <c r="M29" s="8">
        <v>9.5</v>
      </c>
      <c r="N29" s="9">
        <v>9.5</v>
      </c>
      <c r="O29" s="9">
        <v>9.5</v>
      </c>
      <c r="P29" s="9">
        <v>9.5</v>
      </c>
      <c r="Q29" s="35" t="s">
        <v>75</v>
      </c>
      <c r="R29" s="35" t="s">
        <v>75</v>
      </c>
      <c r="S29" s="19"/>
      <c r="T29" s="8">
        <v>5</v>
      </c>
      <c r="U29" s="9">
        <v>15</v>
      </c>
      <c r="V29" s="9">
        <v>75</v>
      </c>
      <c r="W29" s="9">
        <v>0</v>
      </c>
      <c r="X29" s="9">
        <v>5</v>
      </c>
      <c r="Y29" s="10">
        <v>0</v>
      </c>
      <c r="Z29" s="41">
        <f>($I29*T29)*0.01</f>
        <v>1080</v>
      </c>
      <c r="AA29" s="41">
        <f t="shared" ref="AA29:AE31" si="26">($I29*U29)*0.01</f>
        <v>3240</v>
      </c>
      <c r="AB29" s="41">
        <f t="shared" si="26"/>
        <v>16200</v>
      </c>
      <c r="AC29" s="41">
        <f t="shared" si="26"/>
        <v>0</v>
      </c>
      <c r="AD29" s="41">
        <f t="shared" si="26"/>
        <v>1080</v>
      </c>
      <c r="AE29" s="41">
        <f t="shared" si="26"/>
        <v>0</v>
      </c>
      <c r="AF29" s="45">
        <v>0</v>
      </c>
      <c r="AG29" s="46">
        <v>0</v>
      </c>
      <c r="AH29" s="46">
        <v>0</v>
      </c>
      <c r="AI29" s="46">
        <v>0</v>
      </c>
      <c r="AJ29" s="9" t="s">
        <v>147</v>
      </c>
      <c r="AK29" s="46">
        <v>0</v>
      </c>
      <c r="AL29" s="46">
        <v>0</v>
      </c>
      <c r="AM29" s="46">
        <v>0</v>
      </c>
      <c r="AN29" s="46">
        <v>0</v>
      </c>
      <c r="AO29" s="47">
        <v>0</v>
      </c>
      <c r="AP29" s="9" t="s">
        <v>77</v>
      </c>
      <c r="AQ29" s="23"/>
      <c r="AR29" s="24"/>
      <c r="AS29" s="24"/>
      <c r="AT29" s="24"/>
      <c r="AU29" s="24"/>
      <c r="AV29" s="24"/>
      <c r="AW29" s="24"/>
      <c r="AX29" s="24"/>
      <c r="AY29" s="24"/>
      <c r="AZ29" s="25"/>
      <c r="BA29" s="23"/>
      <c r="BB29" s="8"/>
      <c r="BC29" s="9"/>
      <c r="BD29" s="9"/>
      <c r="BE29" s="9"/>
      <c r="BF29" s="9"/>
      <c r="BG29" s="10"/>
      <c r="BJ29" s="35"/>
      <c r="BT29" t="s">
        <v>137</v>
      </c>
      <c r="BU29" t="s">
        <v>138</v>
      </c>
      <c r="BV29" t="s">
        <v>136</v>
      </c>
    </row>
    <row r="30" spans="1:74" x14ac:dyDescent="0.2">
      <c r="A30">
        <v>3000</v>
      </c>
      <c r="B30" t="s">
        <v>75</v>
      </c>
      <c r="C30" t="s">
        <v>131</v>
      </c>
      <c r="D30" s="1">
        <v>217000</v>
      </c>
      <c r="E30" s="8">
        <v>1</v>
      </c>
      <c r="F30" s="9">
        <v>97</v>
      </c>
      <c r="G30" s="9">
        <v>1</v>
      </c>
      <c r="H30" s="9">
        <v>1</v>
      </c>
      <c r="I30" s="9">
        <f>(E30*$D30)*0.01</f>
        <v>2170</v>
      </c>
      <c r="J30" s="9">
        <f t="shared" si="25"/>
        <v>210490</v>
      </c>
      <c r="K30" s="9">
        <f t="shared" si="25"/>
        <v>2170</v>
      </c>
      <c r="L30" s="9">
        <f t="shared" si="25"/>
        <v>2170</v>
      </c>
      <c r="M30" s="8">
        <v>32</v>
      </c>
      <c r="N30" s="9">
        <v>32</v>
      </c>
      <c r="O30" s="9">
        <v>20</v>
      </c>
      <c r="P30" s="9">
        <v>20</v>
      </c>
      <c r="Q30" s="35" t="s">
        <v>75</v>
      </c>
      <c r="R30" s="35" t="s">
        <v>75</v>
      </c>
      <c r="S30" s="19"/>
      <c r="T30" s="8">
        <v>1</v>
      </c>
      <c r="U30" s="9">
        <v>14</v>
      </c>
      <c r="V30" s="9">
        <v>0</v>
      </c>
      <c r="W30" s="9">
        <v>1</v>
      </c>
      <c r="X30" s="9">
        <v>0.5</v>
      </c>
      <c r="Y30" s="10">
        <v>0</v>
      </c>
      <c r="Z30" s="41">
        <f t="shared" ref="Z30:Z31" si="27">($I30*T30)*0.01</f>
        <v>21.7</v>
      </c>
      <c r="AA30" s="41">
        <f t="shared" si="26"/>
        <v>303.8</v>
      </c>
      <c r="AB30" s="41">
        <f t="shared" si="26"/>
        <v>0</v>
      </c>
      <c r="AC30" s="41">
        <f t="shared" si="26"/>
        <v>21.7</v>
      </c>
      <c r="AD30" s="41">
        <f t="shared" si="26"/>
        <v>10.85</v>
      </c>
      <c r="AE30" s="41">
        <f t="shared" si="26"/>
        <v>0</v>
      </c>
      <c r="AF30" s="8" t="s">
        <v>147</v>
      </c>
      <c r="AG30" s="9" t="s">
        <v>147</v>
      </c>
      <c r="AH30" s="9" t="s">
        <v>147</v>
      </c>
      <c r="AI30" s="46">
        <v>0</v>
      </c>
      <c r="AJ30" s="9" t="s">
        <v>147</v>
      </c>
      <c r="AK30" s="9" t="s">
        <v>147</v>
      </c>
      <c r="AL30" s="46">
        <v>0</v>
      </c>
      <c r="AM30" s="46">
        <v>0</v>
      </c>
      <c r="AN30" s="9" t="s">
        <v>147</v>
      </c>
      <c r="AO30" s="10" t="s">
        <v>147</v>
      </c>
      <c r="AP30" s="9" t="s">
        <v>75</v>
      </c>
      <c r="AQ30" s="8">
        <v>75</v>
      </c>
      <c r="AR30" s="9">
        <v>0</v>
      </c>
      <c r="AS30" s="9">
        <v>0</v>
      </c>
      <c r="AT30" s="9">
        <v>25</v>
      </c>
      <c r="AU30" s="9">
        <v>0</v>
      </c>
      <c r="AV30" s="9">
        <f>(AQ30*$K30)*0.01</f>
        <v>1627.5</v>
      </c>
      <c r="AW30" s="9">
        <f t="shared" ref="AW30:AZ30" si="28">(AR30*$K30)*0.01</f>
        <v>0</v>
      </c>
      <c r="AX30" s="9">
        <f t="shared" si="28"/>
        <v>0</v>
      </c>
      <c r="AY30" s="9">
        <f t="shared" si="28"/>
        <v>542.5</v>
      </c>
      <c r="AZ30" s="10">
        <f t="shared" si="28"/>
        <v>0</v>
      </c>
      <c r="BA30" s="55">
        <v>0.95</v>
      </c>
      <c r="BB30" s="8">
        <v>7.5</v>
      </c>
      <c r="BC30" s="9"/>
      <c r="BD30" s="9">
        <v>7.5</v>
      </c>
      <c r="BE30" s="6">
        <v>0</v>
      </c>
      <c r="BF30" s="9">
        <v>7.5</v>
      </c>
      <c r="BG30" s="7">
        <v>0</v>
      </c>
      <c r="BJ30" s="35" t="s">
        <v>74</v>
      </c>
      <c r="BV30" t="s">
        <v>132</v>
      </c>
    </row>
    <row r="31" spans="1:74" ht="16" thickBot="1" x14ac:dyDescent="0.25">
      <c r="A31">
        <v>3001</v>
      </c>
      <c r="B31" t="s">
        <v>75</v>
      </c>
      <c r="C31" t="s">
        <v>133</v>
      </c>
      <c r="D31" s="1">
        <v>300000</v>
      </c>
      <c r="E31" s="15">
        <v>0</v>
      </c>
      <c r="F31" s="16">
        <v>0</v>
      </c>
      <c r="G31" s="16">
        <v>0</v>
      </c>
      <c r="H31" s="16">
        <v>0</v>
      </c>
      <c r="I31" s="16">
        <v>0</v>
      </c>
      <c r="J31" s="16">
        <v>0</v>
      </c>
      <c r="K31" s="16">
        <v>0</v>
      </c>
      <c r="L31" s="16">
        <v>0</v>
      </c>
      <c r="M31" s="11">
        <v>58</v>
      </c>
      <c r="N31" s="12">
        <v>58</v>
      </c>
      <c r="O31" s="12">
        <v>58</v>
      </c>
      <c r="P31" s="12">
        <v>58</v>
      </c>
      <c r="Q31" s="37" t="s">
        <v>75</v>
      </c>
      <c r="R31" s="37" t="s">
        <v>75</v>
      </c>
      <c r="S31" s="19"/>
      <c r="T31" s="11">
        <v>0</v>
      </c>
      <c r="U31" s="12">
        <v>30</v>
      </c>
      <c r="V31" s="12">
        <v>15</v>
      </c>
      <c r="W31" s="12">
        <v>0</v>
      </c>
      <c r="X31" s="12">
        <v>10</v>
      </c>
      <c r="Y31" s="13">
        <v>0</v>
      </c>
      <c r="Z31" s="42">
        <f t="shared" si="27"/>
        <v>0</v>
      </c>
      <c r="AA31" s="42">
        <f t="shared" si="26"/>
        <v>0</v>
      </c>
      <c r="AB31" s="42">
        <f t="shared" si="26"/>
        <v>0</v>
      </c>
      <c r="AC31" s="42">
        <f t="shared" si="26"/>
        <v>0</v>
      </c>
      <c r="AD31" s="42">
        <f t="shared" si="26"/>
        <v>0</v>
      </c>
      <c r="AE31" s="42">
        <f t="shared" si="26"/>
        <v>0</v>
      </c>
      <c r="AF31" s="11" t="s">
        <v>147</v>
      </c>
      <c r="AG31" s="12" t="s">
        <v>147</v>
      </c>
      <c r="AH31" s="12" t="s">
        <v>147</v>
      </c>
      <c r="AI31" s="48">
        <v>0</v>
      </c>
      <c r="AJ31" s="48">
        <v>0</v>
      </c>
      <c r="AK31" s="48">
        <v>0</v>
      </c>
      <c r="AL31" s="48">
        <v>0</v>
      </c>
      <c r="AM31" s="48">
        <v>0</v>
      </c>
      <c r="AN31" s="48">
        <v>0</v>
      </c>
      <c r="AO31" s="49">
        <v>0</v>
      </c>
      <c r="AP31" s="12" t="s">
        <v>77</v>
      </c>
      <c r="AQ31" s="40"/>
      <c r="AR31" s="32"/>
      <c r="AS31" s="32"/>
      <c r="AT31" s="32"/>
      <c r="AU31" s="32"/>
      <c r="AV31" s="32"/>
      <c r="AW31" s="32"/>
      <c r="AX31" s="32"/>
      <c r="AY31" s="32"/>
      <c r="AZ31" s="33"/>
      <c r="BA31" s="40"/>
      <c r="BB31" s="11"/>
      <c r="BC31" s="12"/>
      <c r="BD31" s="12"/>
      <c r="BE31" s="12"/>
      <c r="BF31" s="12"/>
      <c r="BG31" s="13"/>
      <c r="BJ31" s="37"/>
      <c r="BT31" t="s">
        <v>134</v>
      </c>
    </row>
  </sheetData>
  <autoFilter ref="A1:A33" xr:uid="{00000000-0009-0000-0000-000006000000}"/>
  <sortState ref="A2:BV48">
    <sortCondition ref="A2:A48"/>
  </sortState>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B4"/>
  <sheetViews>
    <sheetView workbookViewId="0">
      <selection activeCell="B11" sqref="B11"/>
    </sheetView>
  </sheetViews>
  <sheetFormatPr baseColWidth="10" defaultColWidth="8.83203125" defaultRowHeight="15" x14ac:dyDescent="0.2"/>
  <sheetData>
    <row r="2" spans="1:2" x14ac:dyDescent="0.2">
      <c r="A2" s="17" t="s">
        <v>145</v>
      </c>
      <c r="B2" t="s">
        <v>144</v>
      </c>
    </row>
    <row r="3" spans="1:2" x14ac:dyDescent="0.2">
      <c r="A3" s="50" t="s">
        <v>145</v>
      </c>
      <c r="B3" t="s">
        <v>148</v>
      </c>
    </row>
    <row r="4" spans="1:2" x14ac:dyDescent="0.2">
      <c r="A4" s="51" t="s">
        <v>145</v>
      </c>
      <c r="B4" t="s">
        <v>149</v>
      </c>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8</vt:i4>
      </vt:variant>
    </vt:vector>
  </HeadingPairs>
  <TitlesOfParts>
    <vt:vector size="8" baseType="lpstr">
      <vt:lpstr>Summary</vt:lpstr>
      <vt:lpstr>Raw Data</vt:lpstr>
      <vt:lpstr>West</vt:lpstr>
      <vt:lpstr>Midwest</vt:lpstr>
      <vt:lpstr>Northeast</vt:lpstr>
      <vt:lpstr>South</vt:lpstr>
      <vt:lpstr>CD Survey Final_August 21, 2017</vt:lpstr>
      <vt:lpstr>Key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zack shiner</dc:creator>
  <cp:lastModifiedBy>Microsoft Office User</cp:lastModifiedBy>
  <dcterms:created xsi:type="dcterms:W3CDTF">2017-08-21T17:02:01Z</dcterms:created>
  <dcterms:modified xsi:type="dcterms:W3CDTF">2018-05-02T15:12:17Z</dcterms:modified>
</cp:coreProperties>
</file>